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2220" yWindow="195" windowWidth="12120" windowHeight="8010" tabRatio="976" firstSheet="10" activeTab="10"/>
  </bookViews>
  <sheets>
    <sheet name="Лист2" sheetId="65" state="hidden" r:id="rId1"/>
    <sheet name="А. Петр. 266" sheetId="70" r:id="rId2"/>
    <sheet name="Шук. 26а" sheetId="66" r:id="rId3"/>
    <sheet name="Шук, 28" sheetId="68" r:id="rId4"/>
    <sheet name="Шук, 34" sheetId="69" r:id="rId5"/>
    <sheet name="С. Пол. 31" sheetId="71" r:id="rId6"/>
    <sheet name="С. Пол. 29" sheetId="72" r:id="rId7"/>
    <sheet name="С. Пол. 27 кор1" sheetId="73" r:id="rId8"/>
    <sheet name="С. Пол. 27 корп. 2" sheetId="74" r:id="rId9"/>
    <sheet name="С. Пол. 23а" sheetId="75" r:id="rId10"/>
    <sheet name="пример" sheetId="76" r:id="rId11"/>
    <sheet name="Лист24" sheetId="91" state="hidden" r:id="rId12"/>
    <sheet name="Лист25" sheetId="92" state="hidden" r:id="rId13"/>
  </sheets>
  <calcPr calcId="125725"/>
</workbook>
</file>

<file path=xl/calcChain.xml><?xml version="1.0" encoding="utf-8"?>
<calcChain xmlns="http://schemas.openxmlformats.org/spreadsheetml/2006/main">
  <c r="E20" i="76"/>
  <c r="E22"/>
  <c r="E21"/>
  <c r="F37"/>
  <c r="E37"/>
  <c r="C46" l="1"/>
  <c r="C18" l="1"/>
  <c r="F19" l="1"/>
  <c r="F19" i="75"/>
  <c r="F27"/>
  <c r="F19" i="74"/>
  <c r="F27"/>
  <c r="F19" i="73"/>
  <c r="F27"/>
  <c r="F19" i="72"/>
  <c r="F27"/>
  <c r="F19" i="71"/>
  <c r="F27"/>
  <c r="F19" i="69"/>
  <c r="F27"/>
  <c r="F19" i="68"/>
  <c r="F27"/>
  <c r="D19" i="66"/>
  <c r="F19"/>
  <c r="F19" i="70"/>
  <c r="F27"/>
  <c r="E26" i="76"/>
  <c r="C20"/>
  <c r="E19"/>
  <c r="D19"/>
  <c r="C17"/>
  <c r="F17" s="1"/>
  <c r="C12"/>
  <c r="E25" s="1"/>
  <c r="D50" i="75"/>
  <c r="E27"/>
  <c r="E26"/>
  <c r="C26" s="1"/>
  <c r="F26" s="1"/>
  <c r="E22"/>
  <c r="E21"/>
  <c r="C21" s="1"/>
  <c r="C20"/>
  <c r="F20" s="1"/>
  <c r="E19"/>
  <c r="D19"/>
  <c r="C18"/>
  <c r="C17"/>
  <c r="F17" s="1"/>
  <c r="C12"/>
  <c r="C25" s="1"/>
  <c r="F25" s="1"/>
  <c r="C11"/>
  <c r="D50" i="74"/>
  <c r="C11" s="1"/>
  <c r="E27"/>
  <c r="D27"/>
  <c r="E26"/>
  <c r="E22"/>
  <c r="C22" s="1"/>
  <c r="E21"/>
  <c r="C21" s="1"/>
  <c r="C20"/>
  <c r="F20" s="1"/>
  <c r="E19"/>
  <c r="D19"/>
  <c r="C18"/>
  <c r="F18" s="1"/>
  <c r="C17"/>
  <c r="F17" s="1"/>
  <c r="C12"/>
  <c r="C25" s="1"/>
  <c r="F25" s="1"/>
  <c r="D50" i="73"/>
  <c r="C11" s="1"/>
  <c r="E27"/>
  <c r="D27" s="1"/>
  <c r="E26"/>
  <c r="E22"/>
  <c r="E21"/>
  <c r="C21" s="1"/>
  <c r="D21" s="1"/>
  <c r="C20"/>
  <c r="E19"/>
  <c r="D19"/>
  <c r="C18"/>
  <c r="C17"/>
  <c r="F17" s="1"/>
  <c r="C12"/>
  <c r="C25" s="1"/>
  <c r="F25" s="1"/>
  <c r="D50" i="72"/>
  <c r="C11" s="1"/>
  <c r="E27"/>
  <c r="D27"/>
  <c r="E26"/>
  <c r="E22"/>
  <c r="E21"/>
  <c r="C21"/>
  <c r="D21" s="1"/>
  <c r="C20"/>
  <c r="D20" s="1"/>
  <c r="E19"/>
  <c r="D19"/>
  <c r="C18"/>
  <c r="E18" s="1"/>
  <c r="C17"/>
  <c r="F17" s="1"/>
  <c r="C12"/>
  <c r="C25" s="1"/>
  <c r="F25" s="1"/>
  <c r="D50" i="71"/>
  <c r="E27"/>
  <c r="D27" s="1"/>
  <c r="E26"/>
  <c r="E22"/>
  <c r="E21"/>
  <c r="C20"/>
  <c r="D20" s="1"/>
  <c r="E19"/>
  <c r="D19"/>
  <c r="C18"/>
  <c r="E18" s="1"/>
  <c r="C17"/>
  <c r="F17" s="1"/>
  <c r="C12"/>
  <c r="C25" s="1"/>
  <c r="F25" s="1"/>
  <c r="C11"/>
  <c r="D50" i="70"/>
  <c r="E27"/>
  <c r="E26"/>
  <c r="E22"/>
  <c r="E21"/>
  <c r="D21" s="1"/>
  <c r="C20"/>
  <c r="D20" s="1"/>
  <c r="E19"/>
  <c r="D19"/>
  <c r="C18"/>
  <c r="E18" s="1"/>
  <c r="C17"/>
  <c r="F17" s="1"/>
  <c r="C12"/>
  <c r="C25" s="1"/>
  <c r="F25" s="1"/>
  <c r="C11"/>
  <c r="D50" i="69"/>
  <c r="E27"/>
  <c r="D27" s="1"/>
  <c r="E26"/>
  <c r="E22"/>
  <c r="E21"/>
  <c r="C21" s="1"/>
  <c r="D21" s="1"/>
  <c r="C20"/>
  <c r="F20" s="1"/>
  <c r="E19"/>
  <c r="D19"/>
  <c r="C18"/>
  <c r="F18" s="1"/>
  <c r="C17"/>
  <c r="C12"/>
  <c r="D12" s="1"/>
  <c r="C11"/>
  <c r="D45" i="66"/>
  <c r="C11"/>
  <c r="C12"/>
  <c r="D20" i="74" l="1"/>
  <c r="C25" i="76"/>
  <c r="D25" s="1"/>
  <c r="F20" i="70"/>
  <c r="C21"/>
  <c r="F21" s="1"/>
  <c r="D20" i="75"/>
  <c r="D22" i="74"/>
  <c r="F22"/>
  <c r="D21"/>
  <c r="F21"/>
  <c r="D21" i="75"/>
  <c r="F21"/>
  <c r="E18" i="73"/>
  <c r="F18"/>
  <c r="E18" i="75"/>
  <c r="F18"/>
  <c r="D20" i="76"/>
  <c r="F20"/>
  <c r="F18" i="70"/>
  <c r="F21" i="69"/>
  <c r="F21" i="72"/>
  <c r="D20" i="69"/>
  <c r="D20" i="73"/>
  <c r="F20"/>
  <c r="E18" i="76"/>
  <c r="F18"/>
  <c r="F20" i="71"/>
  <c r="F18"/>
  <c r="F20" i="72"/>
  <c r="F18"/>
  <c r="F21" i="73"/>
  <c r="C26" i="74"/>
  <c r="F26" s="1"/>
  <c r="C26" i="73"/>
  <c r="F26" s="1"/>
  <c r="C26" i="71"/>
  <c r="F26" s="1"/>
  <c r="C26" i="72"/>
  <c r="F26" s="1"/>
  <c r="C26" i="70"/>
  <c r="F26" s="1"/>
  <c r="D26" i="75"/>
  <c r="C26" i="76"/>
  <c r="F26" s="1"/>
  <c r="E17" i="73"/>
  <c r="C21" i="76"/>
  <c r="D21" s="1"/>
  <c r="C22"/>
  <c r="C22" i="75"/>
  <c r="E17" i="76"/>
  <c r="D26"/>
  <c r="C23"/>
  <c r="E23"/>
  <c r="C24"/>
  <c r="E24"/>
  <c r="E25" i="75"/>
  <c r="D25"/>
  <c r="D12"/>
  <c r="E17"/>
  <c r="C23"/>
  <c r="E23"/>
  <c r="C24"/>
  <c r="E24"/>
  <c r="D27"/>
  <c r="E18" i="74"/>
  <c r="E25"/>
  <c r="D25"/>
  <c r="D12"/>
  <c r="E17"/>
  <c r="D26"/>
  <c r="C23"/>
  <c r="E23"/>
  <c r="C24"/>
  <c r="E24"/>
  <c r="D12" i="73"/>
  <c r="C22"/>
  <c r="F22" s="1"/>
  <c r="E25"/>
  <c r="D25"/>
  <c r="D22"/>
  <c r="D26"/>
  <c r="C23"/>
  <c r="E23"/>
  <c r="C24"/>
  <c r="E24"/>
  <c r="C22" i="72"/>
  <c r="F22" s="1"/>
  <c r="E25"/>
  <c r="D25"/>
  <c r="D12"/>
  <c r="E17"/>
  <c r="D22"/>
  <c r="D26"/>
  <c r="C23"/>
  <c r="E23"/>
  <c r="C24"/>
  <c r="E24"/>
  <c r="C21" i="71"/>
  <c r="C22"/>
  <c r="E25"/>
  <c r="D25"/>
  <c r="D12"/>
  <c r="E17"/>
  <c r="D26"/>
  <c r="C23"/>
  <c r="E23"/>
  <c r="C24"/>
  <c r="E24"/>
  <c r="C22" i="70"/>
  <c r="F22" s="1"/>
  <c r="E25"/>
  <c r="D25"/>
  <c r="D12"/>
  <c r="E17"/>
  <c r="D22"/>
  <c r="D26"/>
  <c r="C23"/>
  <c r="E23"/>
  <c r="C24"/>
  <c r="E24"/>
  <c r="D27"/>
  <c r="C22" i="69"/>
  <c r="E18"/>
  <c r="F17"/>
  <c r="C23"/>
  <c r="E23"/>
  <c r="C24"/>
  <c r="E24"/>
  <c r="C25"/>
  <c r="F25" s="1"/>
  <c r="C26"/>
  <c r="F26" s="1"/>
  <c r="E17"/>
  <c r="D26"/>
  <c r="D41" i="66"/>
  <c r="D40"/>
  <c r="D39"/>
  <c r="D38"/>
  <c r="D33"/>
  <c r="D32"/>
  <c r="D34"/>
  <c r="D35"/>
  <c r="D44"/>
  <c r="E31"/>
  <c r="D31" s="1"/>
  <c r="D50" i="68"/>
  <c r="C11" s="1"/>
  <c r="E27"/>
  <c r="D27"/>
  <c r="E26"/>
  <c r="E22"/>
  <c r="C22" s="1"/>
  <c r="E21"/>
  <c r="C21" s="1"/>
  <c r="C20"/>
  <c r="F20" s="1"/>
  <c r="E19"/>
  <c r="D19"/>
  <c r="C18"/>
  <c r="F18" s="1"/>
  <c r="C17"/>
  <c r="E17" s="1"/>
  <c r="C12"/>
  <c r="C24" s="1"/>
  <c r="C28" i="74" l="1"/>
  <c r="D20" i="68"/>
  <c r="F25" i="76"/>
  <c r="D21" i="68"/>
  <c r="F21"/>
  <c r="D22"/>
  <c r="F22"/>
  <c r="D24"/>
  <c r="F24"/>
  <c r="D24" i="69"/>
  <c r="F24"/>
  <c r="D23"/>
  <c r="F23"/>
  <c r="D24" i="70"/>
  <c r="F24"/>
  <c r="D23"/>
  <c r="F23"/>
  <c r="F28" s="1"/>
  <c r="D21" i="71"/>
  <c r="F21"/>
  <c r="D24" i="72"/>
  <c r="F24"/>
  <c r="D23"/>
  <c r="F23"/>
  <c r="F28" s="1"/>
  <c r="D22" i="69"/>
  <c r="F22"/>
  <c r="F28" s="1"/>
  <c r="D24" i="71"/>
  <c r="F24"/>
  <c r="D23"/>
  <c r="F23"/>
  <c r="D22"/>
  <c r="F22"/>
  <c r="D24" i="73"/>
  <c r="F24"/>
  <c r="D23"/>
  <c r="F23"/>
  <c r="D24" i="74"/>
  <c r="F24"/>
  <c r="D23"/>
  <c r="F23"/>
  <c r="F28" s="1"/>
  <c r="D24" i="75"/>
  <c r="F24"/>
  <c r="D23"/>
  <c r="F23"/>
  <c r="D24" i="76"/>
  <c r="F24"/>
  <c r="D23"/>
  <c r="F23"/>
  <c r="D22"/>
  <c r="F22"/>
  <c r="D22" i="75"/>
  <c r="D28" s="1"/>
  <c r="C31" s="1"/>
  <c r="F22"/>
  <c r="F21" i="76"/>
  <c r="C26" i="68"/>
  <c r="F26" s="1"/>
  <c r="F17"/>
  <c r="F28" i="75"/>
  <c r="C27" i="76"/>
  <c r="E27"/>
  <c r="C28" i="75"/>
  <c r="E28"/>
  <c r="D28" i="74"/>
  <c r="C31" s="1"/>
  <c r="D31" s="1"/>
  <c r="E28"/>
  <c r="F28" i="73"/>
  <c r="C28"/>
  <c r="D28"/>
  <c r="C31" s="1"/>
  <c r="D31" s="1"/>
  <c r="E28"/>
  <c r="D28" i="72"/>
  <c r="C31" s="1"/>
  <c r="E31" s="1"/>
  <c r="F31" s="1"/>
  <c r="C28"/>
  <c r="E28"/>
  <c r="D28" i="71"/>
  <c r="C31" s="1"/>
  <c r="E31" s="1"/>
  <c r="F31" s="1"/>
  <c r="C28"/>
  <c r="E28"/>
  <c r="D28" i="70"/>
  <c r="C31" s="1"/>
  <c r="D31" s="1"/>
  <c r="C28"/>
  <c r="E28"/>
  <c r="D26" i="68"/>
  <c r="D25" i="69"/>
  <c r="D28" s="1"/>
  <c r="C31" s="1"/>
  <c r="E25"/>
  <c r="E28" s="1"/>
  <c r="C28"/>
  <c r="E18" i="68"/>
  <c r="C23"/>
  <c r="E24"/>
  <c r="D12"/>
  <c r="E23"/>
  <c r="C25"/>
  <c r="E21" i="66"/>
  <c r="E20"/>
  <c r="C20" s="1"/>
  <c r="E25"/>
  <c r="D25" s="1"/>
  <c r="D37"/>
  <c r="D36"/>
  <c r="E19"/>
  <c r="C18"/>
  <c r="F18" s="1"/>
  <c r="C17"/>
  <c r="G39" i="65"/>
  <c r="F40"/>
  <c r="G38"/>
  <c r="F41"/>
  <c r="C32"/>
  <c r="C34"/>
  <c r="C33"/>
  <c r="C37"/>
  <c r="D37"/>
  <c r="C31"/>
  <c r="D31"/>
  <c r="D46"/>
  <c r="C18"/>
  <c r="D18" s="1"/>
  <c r="E42"/>
  <c r="D42"/>
  <c r="C30"/>
  <c r="D30" s="1"/>
  <c r="C29"/>
  <c r="D29" s="1"/>
  <c r="C28"/>
  <c r="D28" s="1"/>
  <c r="C27"/>
  <c r="D27" s="1"/>
  <c r="C26"/>
  <c r="D26" s="1"/>
  <c r="C25"/>
  <c r="D25" s="1"/>
  <c r="C24"/>
  <c r="D24" s="1"/>
  <c r="C23"/>
  <c r="D23" s="1"/>
  <c r="C22"/>
  <c r="D22" s="1"/>
  <c r="C21"/>
  <c r="D21" s="1"/>
  <c r="C20"/>
  <c r="D20" s="1"/>
  <c r="C19"/>
  <c r="D19" s="1"/>
  <c r="C17"/>
  <c r="D17" s="1"/>
  <c r="C16"/>
  <c r="D16" s="1"/>
  <c r="F15"/>
  <c r="E15"/>
  <c r="D15"/>
  <c r="C14"/>
  <c r="E14" s="1"/>
  <c r="E38" s="1"/>
  <c r="C12"/>
  <c r="F12" s="1"/>
  <c r="F27" i="76" l="1"/>
  <c r="D27"/>
  <c r="C30" s="1"/>
  <c r="F30" s="1"/>
  <c r="D38" s="1"/>
  <c r="C38" i="65"/>
  <c r="E12"/>
  <c r="D31" i="71"/>
  <c r="F28"/>
  <c r="D38" i="65"/>
  <c r="D39"/>
  <c r="D31" i="75"/>
  <c r="E31"/>
  <c r="F31" s="1"/>
  <c r="D20" i="66"/>
  <c r="F20"/>
  <c r="E25" i="68"/>
  <c r="F25"/>
  <c r="D23"/>
  <c r="F23"/>
  <c r="F14" i="65"/>
  <c r="F38" s="1"/>
  <c r="F43" s="1"/>
  <c r="F44" s="1"/>
  <c r="E31" i="73"/>
  <c r="F31" s="1"/>
  <c r="D31" i="72"/>
  <c r="E31" i="74"/>
  <c r="F31" s="1"/>
  <c r="E31" i="70"/>
  <c r="F31" s="1"/>
  <c r="C28" i="68"/>
  <c r="D25"/>
  <c r="D28" s="1"/>
  <c r="C31" s="1"/>
  <c r="D31" s="1"/>
  <c r="F28"/>
  <c r="D31" i="69"/>
  <c r="E31"/>
  <c r="F31" s="1"/>
  <c r="E18" i="66"/>
  <c r="D43"/>
  <c r="C24"/>
  <c r="F17"/>
  <c r="D42"/>
  <c r="C22"/>
  <c r="E22"/>
  <c r="C23"/>
  <c r="E23"/>
  <c r="E28" i="68"/>
  <c r="C25" i="66"/>
  <c r="F25" s="1"/>
  <c r="C21"/>
  <c r="E17"/>
  <c r="D30" i="76" l="1"/>
  <c r="F23" i="66"/>
  <c r="D23"/>
  <c r="D22"/>
  <c r="F22"/>
  <c r="F39" i="65"/>
  <c r="C26" i="66"/>
  <c r="D21"/>
  <c r="F21"/>
  <c r="D24"/>
  <c r="F24"/>
  <c r="E31" i="68"/>
  <c r="F31" s="1"/>
  <c r="E24" i="66"/>
  <c r="D26"/>
  <c r="F26" l="1"/>
  <c r="F29" s="1"/>
  <c r="E29" s="1"/>
  <c r="C29" s="1"/>
  <c r="D29" s="1"/>
  <c r="G40" i="65"/>
  <c r="G41"/>
  <c r="D41"/>
  <c r="D40"/>
  <c r="C40" s="1"/>
  <c r="E40" s="1"/>
  <c r="E26" i="66"/>
  <c r="D43" i="65" l="1"/>
  <c r="D44" s="1"/>
  <c r="C41"/>
  <c r="E41" s="1"/>
  <c r="G43"/>
  <c r="C11" i="76"/>
</calcChain>
</file>

<file path=xl/sharedStrings.xml><?xml version="1.0" encoding="utf-8"?>
<sst xmlns="http://schemas.openxmlformats.org/spreadsheetml/2006/main" count="582" uniqueCount="141">
  <si>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</si>
  <si>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</si>
  <si>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</si>
  <si>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</si>
  <si>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</si>
  <si>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</si>
  <si>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</si>
  <si>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</si>
  <si>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</si>
  <si>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</si>
  <si>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</si>
  <si>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</si>
  <si>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</si>
  <si>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</si>
  <si>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</si>
  <si>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</si>
  <si>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</si>
  <si>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</si>
  <si>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</si>
  <si>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</si>
  <si>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</si>
  <si>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</si>
  <si>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</si>
  <si>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</si>
  <si>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</si>
  <si>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</si>
  <si>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</si>
  <si>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</si>
  <si>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</si>
  <si>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</si>
  <si>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</si>
  <si>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</si>
  <si>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</si>
  <si>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</si>
  <si>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</si>
  <si>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</si>
  <si>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</si>
  <si>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</si>
  <si>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</si>
  <si>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</si>
  <si>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</si>
  <si>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</si>
  <si>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</si>
  <si>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</si>
  <si>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</si>
  <si>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</si>
  <si>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</si>
  <si>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</si>
  <si>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</si>
  <si>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</si>
  <si>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</si>
  <si>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</si>
  <si>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</si>
  <si>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</si>
  <si>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</si>
  <si>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</si>
  <si>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</si>
  <si>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</si>
  <si>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</si>
  <si>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</si>
  <si>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</si>
  <si>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</si>
  <si>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</si>
  <si>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</si>
  <si>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</si>
  <si>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</si>
  <si>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</si>
  <si>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</si>
  <si>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</si>
  <si>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</si>
  <si>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</si>
  <si>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</si>
  <si>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</si>
  <si>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</si>
  <si>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</si>
  <si>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</si>
  <si>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</si>
  <si>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</si>
  <si>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</si>
  <si>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</si>
  <si>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</si>
  <si>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</si>
  <si>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</si>
  <si>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</si>
  <si>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</si>
  <si>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</si>
  <si>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Госпошлина ???????</t>
  </si>
  <si>
    <t>Тариф на содержание</t>
  </si>
  <si>
    <t>Годовой доход МКД</t>
  </si>
  <si>
    <t>площадь подвального помещения</t>
  </si>
  <si>
    <t>Оплата председателю МКД</t>
  </si>
  <si>
    <t>Сумма задолженности МКД за ресурсы</t>
  </si>
  <si>
    <t>итого услуги по управлению и содержанию МКД</t>
  </si>
  <si>
    <t>Прочие доходы дома</t>
  </si>
  <si>
    <t>Остаток денежных средств на текущий ремонт МКД  с учетом прочих доходов (справочно)</t>
  </si>
  <si>
    <t>ВНЕСЕНИЕ ДОПОЛНЕНИЙ В ПЛАН РАБОТ ПО ТЕКУЩЕМУ РЕМОНТУ МКД ПРОИЗВОДИТСЯ С 01.04.2019- 15.04.2019 ПО ИТОГАМ ГОДОВОГО ОТЧЕТА ЗА 2018 ГОД И УТВЕРЖДАЕТСЯ УПОЛНОМОЧЕННЫМ СОВЕТОМ МКД</t>
  </si>
  <si>
    <t>Задоженность (-), переплата (+) посостоянию на 01.01.2019</t>
  </si>
  <si>
    <t>3</t>
  </si>
  <si>
    <t>4</t>
  </si>
  <si>
    <t xml:space="preserve">Госпошлина </t>
  </si>
  <si>
    <t>План работ и услуг по содержанию и ремонту общего имущества МКД на 2019 год по адресу:                                              Шукшина, 26а</t>
  </si>
  <si>
    <t>5 этажный кирпичьный дом</t>
  </si>
  <si>
    <t>Ремонт входов</t>
  </si>
  <si>
    <t>Ремонт подъездов</t>
  </si>
  <si>
    <t xml:space="preserve">Ремонт кровли </t>
  </si>
  <si>
    <t>План работ и услуг по содержанию и ремонту общего имущества МКД на 2019 год по адресу:                                         Шукшина. 28</t>
  </si>
  <si>
    <t>План работ и услуг по содержанию и ремонту общего имущества МКД на 2019 год по адресу:                                                                           Шукшина, 34</t>
  </si>
  <si>
    <t>10- этажный панельный дом</t>
  </si>
  <si>
    <t>Госпошлина</t>
  </si>
  <si>
    <t>План работ и услуг по содержанию и ремонту общего имущества МКД на 2019 год по адресу:                                                                           А. Петрова, 266</t>
  </si>
  <si>
    <t>9-этажный панельный дом</t>
  </si>
  <si>
    <t>План работ и услуг по содержанию и ремонту общего имущества МКД на 2019 год по адресу:                                                                           С. Поляна, 31</t>
  </si>
  <si>
    <t>План работ и услуг по содержанию и ремонту общего имущества МКД на 2019 год по адресу:                                                                           С. Поляна, 29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</si>
  <si>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1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</si>
  <si>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2</t>
  </si>
  <si>
    <t>План работ и услуг по содержанию и ремонту общего имущества МКД на 2019 год по адресу:                                                                           С. Поляна, 23а</t>
  </si>
  <si>
    <t>5-этажный панельный дом</t>
  </si>
  <si>
    <t>Количество лифтов</t>
  </si>
  <si>
    <t xml:space="preserve">ИТОГО </t>
  </si>
  <si>
    <t xml:space="preserve"> Обслуживанию  общего имущества МКД </t>
  </si>
  <si>
    <r>
      <t xml:space="preserve"> </t>
    </r>
    <r>
      <rPr>
        <b/>
        <i/>
        <sz val="14"/>
        <rFont val="Times New Roman"/>
        <family val="1"/>
        <charset val="204"/>
      </rPr>
      <t xml:space="preserve">Текущий ремонт  общего имущества МКД </t>
    </r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</si>
  <si>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</si>
  <si>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</si>
  <si>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</si>
  <si>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</si>
  <si>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</si>
  <si>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</si>
  <si>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</si>
  <si>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</si>
  <si>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</si>
  <si>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Рекомендуемый тариф</t>
  </si>
  <si>
    <t>Промывка, опрессовка ОС</t>
  </si>
  <si>
    <t>Ремонт кровли</t>
  </si>
  <si>
    <t>Ремонт межпанельных шов</t>
  </si>
  <si>
    <t>Итого работ по текущему ремонту</t>
  </si>
  <si>
    <t>ВНЕСЕНИЕ ДОПОЛНЕНИЙ В ПЛАН РАБОТ ПО ТЕКУЩЕМУ РЕМОНТУ МКД ПРОИЗВОДИТСЯ С 01.04.2020- 15.04.2020 ПО ИТОГАМ ГОДОВОГО ОТЧЕТА ЗА 2019 ГОД И УТВЕРЖДАЕТСЯ УПОЛНОМОЧЕННЫМ СОВЕТОМ МКД</t>
  </si>
  <si>
    <t>ПАО "Ростелеком"</t>
  </si>
  <si>
    <t>ПРОдвижение-Барнаул</t>
  </si>
  <si>
    <t xml:space="preserve">План работ и услуг по содержанию и ремонту общего имущества МКД на 2021 год по адресу:    Веры Кащеевой  23 корпус 1                                                         </t>
  </si>
  <si>
    <t>Арендаторы земля</t>
  </si>
  <si>
    <t>Начальник ПТО______________/Маматова Т.В.</t>
  </si>
</sst>
</file>

<file path=xl/styles.xml><?xml version="1.0" encoding="utf-8"?>
<styleSheet xmlns="http://schemas.openxmlformats.org/spreadsheetml/2006/main">
  <numFmts count="2">
    <numFmt numFmtId="164" formatCode="000000"/>
    <numFmt numFmtId="165" formatCode="0.00000"/>
  </numFmts>
  <fonts count="29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i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6">
    <xf numFmtId="0" fontId="0" fillId="0" borderId="0" xfId="0"/>
    <xf numFmtId="49" fontId="12" fillId="0" borderId="1" xfId="0" applyNumberFormat="1" applyFont="1" applyBorder="1" applyAlignment="1" applyProtection="1">
      <alignment wrapText="1"/>
      <protection locked="0"/>
    </xf>
    <xf numFmtId="49" fontId="9" fillId="0" borderId="1" xfId="0" applyNumberFormat="1" applyFont="1" applyBorder="1" applyProtection="1">
      <protection locked="0"/>
    </xf>
    <xf numFmtId="2" fontId="12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Border="1" applyProtection="1"/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49" fontId="7" fillId="0" borderId="2" xfId="0" applyNumberFormat="1" applyFont="1" applyBorder="1" applyAlignment="1" applyProtection="1">
      <alignment readingOrder="1"/>
    </xf>
    <xf numFmtId="49" fontId="7" fillId="0" borderId="1" xfId="0" applyNumberFormat="1" applyFont="1" applyBorder="1" applyAlignment="1" applyProtection="1">
      <alignment readingOrder="1"/>
    </xf>
    <xf numFmtId="49" fontId="8" fillId="0" borderId="1" xfId="0" applyNumberFormat="1" applyFont="1" applyBorder="1" applyProtection="1"/>
    <xf numFmtId="49" fontId="9" fillId="0" borderId="3" xfId="0" applyNumberFormat="1" applyFont="1" applyBorder="1" applyProtection="1"/>
    <xf numFmtId="0" fontId="12" fillId="0" borderId="1" xfId="0" applyNumberFormat="1" applyFont="1" applyBorder="1" applyAlignment="1" applyProtection="1">
      <alignment wrapText="1"/>
    </xf>
    <xf numFmtId="2" fontId="13" fillId="0" borderId="1" xfId="0" applyNumberFormat="1" applyFont="1" applyBorder="1" applyAlignment="1" applyProtection="1">
      <alignment horizontal="center"/>
    </xf>
    <xf numFmtId="2" fontId="12" fillId="0" borderId="1" xfId="0" applyNumberFormat="1" applyFont="1" applyBorder="1" applyAlignment="1" applyProtection="1">
      <alignment horizontal="center"/>
    </xf>
    <xf numFmtId="49" fontId="13" fillId="0" borderId="3" xfId="0" applyNumberFormat="1" applyFont="1" applyBorder="1" applyAlignment="1" applyProtection="1">
      <alignment wrapText="1"/>
    </xf>
    <xf numFmtId="49" fontId="9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wrapText="1"/>
    </xf>
    <xf numFmtId="164" fontId="13" fillId="0" borderId="1" xfId="0" applyNumberFormat="1" applyFont="1" applyBorder="1" applyAlignment="1" applyProtection="1">
      <alignment wrapText="1"/>
    </xf>
    <xf numFmtId="2" fontId="13" fillId="0" borderId="4" xfId="0" applyNumberFormat="1" applyFont="1" applyFill="1" applyBorder="1" applyAlignment="1" applyProtection="1">
      <alignment horizontal="center"/>
    </xf>
    <xf numFmtId="49" fontId="8" fillId="0" borderId="1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wrapText="1"/>
    </xf>
    <xf numFmtId="2" fontId="11" fillId="0" borderId="1" xfId="0" applyNumberFormat="1" applyFont="1" applyBorder="1" applyAlignment="1" applyProtection="1">
      <alignment horizontal="center"/>
    </xf>
    <xf numFmtId="49" fontId="9" fillId="0" borderId="0" xfId="0" applyNumberFormat="1" applyFont="1" applyProtection="1"/>
    <xf numFmtId="2" fontId="9" fillId="0" borderId="0" xfId="0" applyNumberFormat="1" applyFont="1" applyProtection="1"/>
    <xf numFmtId="2" fontId="13" fillId="0" borderId="0" xfId="0" applyNumberFormat="1" applyFont="1" applyProtection="1"/>
    <xf numFmtId="49" fontId="1" fillId="0" borderId="0" xfId="0" applyNumberFormat="1" applyFont="1" applyProtection="1"/>
    <xf numFmtId="49" fontId="3" fillId="0" borderId="1" xfId="0" applyNumberFormat="1" applyFont="1" applyBorder="1" applyAlignment="1" applyProtection="1">
      <alignment wrapText="1"/>
    </xf>
    <xf numFmtId="2" fontId="3" fillId="0" borderId="1" xfId="0" applyNumberFormat="1" applyFont="1" applyBorder="1" applyProtection="1"/>
    <xf numFmtId="2" fontId="1" fillId="0" borderId="0" xfId="0" applyNumberFormat="1" applyFont="1" applyProtection="1"/>
    <xf numFmtId="0" fontId="0" fillId="0" borderId="0" xfId="0" applyBorder="1" applyProtection="1"/>
    <xf numFmtId="49" fontId="2" fillId="0" borderId="1" xfId="0" applyNumberFormat="1" applyFont="1" applyBorder="1" applyProtection="1"/>
    <xf numFmtId="2" fontId="2" fillId="0" borderId="1" xfId="0" applyNumberFormat="1" applyFont="1" applyBorder="1" applyProtection="1"/>
    <xf numFmtId="49" fontId="5" fillId="0" borderId="0" xfId="0" applyNumberFormat="1" applyFont="1" applyProtection="1"/>
    <xf numFmtId="2" fontId="5" fillId="0" borderId="0" xfId="0" applyNumberFormat="1" applyFont="1" applyProtection="1"/>
    <xf numFmtId="0" fontId="0" fillId="0" borderId="1" xfId="0" applyBorder="1" applyAlignment="1" applyProtection="1">
      <alignment vertical="center"/>
      <protection locked="0"/>
    </xf>
    <xf numFmtId="0" fontId="14" fillId="0" borderId="5" xfId="0" applyFont="1" applyBorder="1" applyAlignment="1" applyProtection="1">
      <alignment horizontal="center" vertical="center" wrapText="1" readingOrder="1"/>
    </xf>
    <xf numFmtId="0" fontId="15" fillId="0" borderId="0" xfId="0" applyFont="1" applyProtection="1"/>
    <xf numFmtId="0" fontId="17" fillId="0" borderId="1" xfId="0" applyFont="1" applyBorder="1" applyAlignment="1" applyProtection="1">
      <alignment horizontal="left" vertical="center"/>
    </xf>
    <xf numFmtId="2" fontId="13" fillId="0" borderId="1" xfId="0" applyNumberFormat="1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17" fillId="0" borderId="0" xfId="0" applyFont="1" applyBorder="1" applyAlignment="1" applyProtection="1">
      <alignment horizontal="left" vertical="center"/>
    </xf>
    <xf numFmtId="0" fontId="19" fillId="0" borderId="5" xfId="0" applyFont="1" applyBorder="1" applyAlignment="1" applyProtection="1">
      <alignment horizontal="center" vertical="center" wrapText="1" readingOrder="1"/>
    </xf>
    <xf numFmtId="0" fontId="20" fillId="0" borderId="1" xfId="0" applyFont="1" applyBorder="1" applyProtection="1"/>
    <xf numFmtId="49" fontId="9" fillId="0" borderId="1" xfId="0" applyNumberFormat="1" applyFont="1" applyBorder="1" applyAlignment="1" applyProtection="1">
      <alignment vertical="center"/>
      <protection locked="0"/>
    </xf>
    <xf numFmtId="49" fontId="12" fillId="0" borderId="1" xfId="0" applyNumberFormat="1" applyFont="1" applyBorder="1" applyAlignment="1" applyProtection="1">
      <alignment vertical="center" wrapText="1"/>
      <protection locked="0"/>
    </xf>
    <xf numFmtId="2" fontId="12" fillId="0" borderId="1" xfId="0" applyNumberFormat="1" applyFont="1" applyBorder="1" applyAlignment="1" applyProtection="1">
      <alignment horizontal="center" vertical="center"/>
    </xf>
    <xf numFmtId="2" fontId="12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23" fillId="0" borderId="0" xfId="0" applyFont="1" applyProtection="1"/>
    <xf numFmtId="2" fontId="12" fillId="2" borderId="1" xfId="0" applyNumberFormat="1" applyFont="1" applyFill="1" applyBorder="1" applyAlignment="1" applyProtection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/>
    </xf>
    <xf numFmtId="2" fontId="13" fillId="0" borderId="1" xfId="0" applyNumberFormat="1" applyFont="1" applyFill="1" applyBorder="1" applyAlignment="1" applyProtection="1">
      <alignment horizontal="center"/>
    </xf>
    <xf numFmtId="0" fontId="24" fillId="0" borderId="0" xfId="0" applyFont="1" applyFill="1" applyProtection="1"/>
    <xf numFmtId="49" fontId="12" fillId="0" borderId="0" xfId="0" applyNumberFormat="1" applyFont="1" applyAlignment="1" applyProtection="1">
      <alignment horizontal="left"/>
    </xf>
    <xf numFmtId="49" fontId="2" fillId="0" borderId="1" xfId="0" applyNumberFormat="1" applyFont="1" applyBorder="1" applyAlignment="1" applyProtection="1">
      <alignment wrapText="1"/>
    </xf>
    <xf numFmtId="2" fontId="12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horizontal="right"/>
    </xf>
    <xf numFmtId="49" fontId="8" fillId="0" borderId="1" xfId="0" applyNumberFormat="1" applyFont="1" applyBorder="1" applyAlignment="1" applyProtection="1">
      <alignment horizontal="left"/>
    </xf>
    <xf numFmtId="2" fontId="13" fillId="2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1" xfId="0" applyNumberFormat="1" applyFont="1" applyBorder="1" applyProtection="1">
      <protection locked="0"/>
    </xf>
    <xf numFmtId="0" fontId="25" fillId="0" borderId="1" xfId="0" applyFont="1" applyBorder="1" applyProtection="1"/>
    <xf numFmtId="2" fontId="13" fillId="0" borderId="1" xfId="0" applyNumberFormat="1" applyFont="1" applyBorder="1" applyAlignment="1" applyProtection="1">
      <alignment horizontal="center"/>
      <protection locked="0"/>
    </xf>
    <xf numFmtId="0" fontId="21" fillId="0" borderId="0" xfId="0" applyFont="1" applyProtection="1"/>
    <xf numFmtId="49" fontId="8" fillId="0" borderId="2" xfId="0" applyNumberFormat="1" applyFont="1" applyBorder="1" applyAlignment="1" applyProtection="1">
      <alignment horizontal="center"/>
    </xf>
    <xf numFmtId="0" fontId="9" fillId="0" borderId="9" xfId="0" applyFont="1" applyBorder="1" applyAlignment="1" applyProtection="1">
      <alignment horizontal="center"/>
    </xf>
    <xf numFmtId="0" fontId="5" fillId="0" borderId="9" xfId="0" applyFont="1" applyBorder="1" applyAlignment="1" applyProtection="1"/>
    <xf numFmtId="0" fontId="20" fillId="0" borderId="0" xfId="0" applyFont="1" applyProtection="1"/>
    <xf numFmtId="49" fontId="10" fillId="0" borderId="2" xfId="0" applyNumberFormat="1" applyFont="1" applyBorder="1" applyAlignment="1" applyProtection="1">
      <alignment readingOrder="1"/>
    </xf>
    <xf numFmtId="0" fontId="20" fillId="0" borderId="0" xfId="0" applyFont="1" applyBorder="1" applyAlignment="1" applyProtection="1"/>
    <xf numFmtId="0" fontId="20" fillId="0" borderId="0" xfId="0" applyFont="1" applyBorder="1" applyProtection="1"/>
    <xf numFmtId="0" fontId="22" fillId="0" borderId="0" xfId="0" applyFont="1" applyProtection="1"/>
    <xf numFmtId="0" fontId="20" fillId="0" borderId="0" xfId="0" applyFont="1" applyBorder="1" applyAlignment="1" applyProtection="1">
      <alignment horizontal="left"/>
    </xf>
    <xf numFmtId="49" fontId="10" fillId="0" borderId="1" xfId="0" applyNumberFormat="1" applyFont="1" applyBorder="1" applyAlignment="1" applyProtection="1">
      <alignment readingOrder="1"/>
    </xf>
    <xf numFmtId="0" fontId="10" fillId="0" borderId="3" xfId="0" applyFont="1" applyBorder="1" applyAlignment="1" applyProtection="1">
      <alignment horizontal="left" readingOrder="1"/>
    </xf>
    <xf numFmtId="0" fontId="20" fillId="0" borderId="7" xfId="0" applyFont="1" applyBorder="1" applyAlignment="1" applyProtection="1">
      <alignment horizontal="left"/>
    </xf>
    <xf numFmtId="0" fontId="20" fillId="0" borderId="6" xfId="0" applyFont="1" applyBorder="1" applyAlignment="1" applyProtection="1">
      <alignment horizontal="left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2" fillId="0" borderId="1" xfId="0" applyFont="1" applyFill="1" applyBorder="1" applyProtection="1"/>
    <xf numFmtId="2" fontId="20" fillId="0" borderId="1" xfId="0" applyNumberFormat="1" applyFont="1" applyBorder="1" applyAlignment="1" applyProtection="1">
      <alignment horizontal="left"/>
    </xf>
    <xf numFmtId="0" fontId="25" fillId="0" borderId="1" xfId="0" applyFont="1" applyBorder="1" applyAlignment="1" applyProtection="1">
      <alignment horizontal="left"/>
    </xf>
    <xf numFmtId="49" fontId="12" fillId="3" borderId="1" xfId="0" applyNumberFormat="1" applyFont="1" applyFill="1" applyBorder="1" applyAlignment="1" applyProtection="1">
      <alignment wrapText="1"/>
      <protection locked="0"/>
    </xf>
    <xf numFmtId="2" fontId="12" fillId="3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0" fontId="14" fillId="0" borderId="5" xfId="0" applyFont="1" applyBorder="1" applyAlignment="1" applyProtection="1">
      <alignment horizontal="center" vertical="center" wrapText="1" readingOrder="1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 wrapText="1"/>
    </xf>
    <xf numFmtId="2" fontId="13" fillId="0" borderId="1" xfId="0" applyNumberFormat="1" applyFont="1" applyBorder="1" applyProtection="1"/>
    <xf numFmtId="49" fontId="12" fillId="0" borderId="1" xfId="0" applyNumberFormat="1" applyFont="1" applyBorder="1" applyProtection="1"/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49" fontId="13" fillId="0" borderId="2" xfId="0" applyNumberFormat="1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0" fontId="20" fillId="0" borderId="7" xfId="0" applyFont="1" applyBorder="1" applyAlignment="1" applyProtection="1"/>
    <xf numFmtId="0" fontId="20" fillId="0" borderId="9" xfId="0" applyFont="1" applyBorder="1" applyAlignment="1" applyProtection="1"/>
    <xf numFmtId="0" fontId="11" fillId="0" borderId="5" xfId="0" applyFont="1" applyBorder="1" applyAlignment="1" applyProtection="1">
      <alignment horizontal="center" vertical="center" wrapText="1" readingOrder="1"/>
    </xf>
    <xf numFmtId="49" fontId="12" fillId="0" borderId="3" xfId="0" applyNumberFormat="1" applyFont="1" applyBorder="1" applyProtection="1"/>
    <xf numFmtId="49" fontId="12" fillId="0" borderId="1" xfId="0" applyNumberFormat="1" applyFont="1" applyBorder="1" applyProtection="1">
      <protection locked="0"/>
    </xf>
    <xf numFmtId="0" fontId="27" fillId="0" borderId="0" xfId="0" applyFont="1" applyProtection="1"/>
    <xf numFmtId="49" fontId="12" fillId="0" borderId="1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</xf>
    <xf numFmtId="49" fontId="13" fillId="0" borderId="1" xfId="0" applyNumberFormat="1" applyFont="1" applyBorder="1" applyProtection="1">
      <protection locked="0"/>
    </xf>
    <xf numFmtId="0" fontId="28" fillId="0" borderId="0" xfId="0" applyFont="1" applyProtection="1"/>
    <xf numFmtId="49" fontId="13" fillId="0" borderId="1" xfId="0" applyNumberFormat="1" applyFont="1" applyBorder="1" applyProtection="1"/>
    <xf numFmtId="0" fontId="22" fillId="0" borderId="1" xfId="0" applyFont="1" applyBorder="1" applyAlignment="1" applyProtection="1">
      <alignment vertical="center"/>
      <protection locked="0"/>
    </xf>
    <xf numFmtId="49" fontId="12" fillId="0" borderId="0" xfId="0" applyNumberFormat="1" applyFont="1" applyProtection="1"/>
    <xf numFmtId="2" fontId="12" fillId="0" borderId="0" xfId="0" applyNumberFormat="1" applyFont="1" applyProtection="1"/>
    <xf numFmtId="49" fontId="2" fillId="0" borderId="0" xfId="0" applyNumberFormat="1" applyFont="1" applyProtection="1"/>
    <xf numFmtId="2" fontId="2" fillId="0" borderId="0" xfId="0" applyNumberFormat="1" applyFont="1" applyProtection="1"/>
    <xf numFmtId="0" fontId="22" fillId="0" borderId="0" xfId="0" applyFont="1" applyBorder="1" applyProtection="1"/>
    <xf numFmtId="2" fontId="20" fillId="0" borderId="0" xfId="0" applyNumberFormat="1" applyFont="1" applyProtection="1"/>
    <xf numFmtId="49" fontId="20" fillId="0" borderId="0" xfId="0" applyNumberFormat="1" applyFont="1" applyProtection="1"/>
    <xf numFmtId="0" fontId="10" fillId="0" borderId="1" xfId="0" applyFont="1" applyBorder="1" applyAlignment="1" applyProtection="1">
      <alignment horizontal="left" vertical="center"/>
    </xf>
    <xf numFmtId="2" fontId="10" fillId="0" borderId="1" xfId="0" applyNumberFormat="1" applyFont="1" applyBorder="1" applyAlignment="1" applyProtection="1">
      <alignment horizontal="left" vertical="center"/>
    </xf>
    <xf numFmtId="1" fontId="10" fillId="0" borderId="1" xfId="0" applyNumberFormat="1" applyFont="1" applyBorder="1" applyAlignment="1" applyProtection="1">
      <alignment horizontal="left" vertical="center"/>
    </xf>
    <xf numFmtId="49" fontId="13" fillId="3" borderId="1" xfId="0" applyNumberFormat="1" applyFont="1" applyFill="1" applyBorder="1" applyAlignment="1" applyProtection="1">
      <alignment wrapText="1"/>
      <protection locked="0"/>
    </xf>
    <xf numFmtId="2" fontId="13" fillId="3" borderId="1" xfId="0" applyNumberFormat="1" applyFont="1" applyFill="1" applyBorder="1" applyAlignment="1" applyProtection="1">
      <alignment horizontal="center"/>
    </xf>
    <xf numFmtId="49" fontId="12" fillId="2" borderId="1" xfId="0" applyNumberFormat="1" applyFont="1" applyFill="1" applyBorder="1" applyAlignment="1" applyProtection="1">
      <alignment wrapText="1"/>
    </xf>
    <xf numFmtId="2" fontId="10" fillId="2" borderId="3" xfId="0" applyNumberFormat="1" applyFont="1" applyFill="1" applyBorder="1" applyAlignment="1" applyProtection="1">
      <alignment horizontal="left" vertical="center"/>
    </xf>
    <xf numFmtId="2" fontId="12" fillId="2" borderId="1" xfId="0" applyNumberFormat="1" applyFont="1" applyFill="1" applyBorder="1" applyProtection="1"/>
    <xf numFmtId="2" fontId="12" fillId="2" borderId="1" xfId="0" applyNumberFormat="1" applyFont="1" applyFill="1" applyBorder="1" applyAlignment="1" applyProtection="1">
      <alignment horizontal="right"/>
    </xf>
    <xf numFmtId="49" fontId="12" fillId="0" borderId="8" xfId="0" applyNumberFormat="1" applyFont="1" applyBorder="1" applyAlignment="1" applyProtection="1">
      <alignment horizontal="left"/>
      <protection locked="0"/>
    </xf>
    <xf numFmtId="165" fontId="12" fillId="0" borderId="1" xfId="0" applyNumberFormat="1" applyFont="1" applyBorder="1" applyAlignment="1" applyProtection="1">
      <alignment horizontal="center"/>
    </xf>
    <xf numFmtId="49" fontId="13" fillId="0" borderId="3" xfId="0" applyNumberFormat="1" applyFont="1" applyBorder="1" applyAlignment="1" applyProtection="1">
      <alignment wrapText="1"/>
    </xf>
    <xf numFmtId="0" fontId="0" fillId="0" borderId="6" xfId="0" applyBorder="1" applyAlignment="1" applyProtection="1"/>
    <xf numFmtId="2" fontId="13" fillId="0" borderId="3" xfId="0" applyNumberFormat="1" applyFont="1" applyBorder="1" applyAlignment="1" applyProtection="1">
      <alignment horizontal="center"/>
    </xf>
    <xf numFmtId="2" fontId="13" fillId="0" borderId="6" xfId="0" applyNumberFormat="1" applyFont="1" applyBorder="1" applyAlignment="1" applyProtection="1">
      <alignment horizontal="center"/>
    </xf>
    <xf numFmtId="49" fontId="18" fillId="0" borderId="0" xfId="0" applyNumberFormat="1" applyFont="1" applyAlignment="1" applyProtection="1">
      <alignment horizontal="center"/>
    </xf>
    <xf numFmtId="49" fontId="8" fillId="0" borderId="3" xfId="0" applyNumberFormat="1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5" xfId="0" applyNumberFormat="1" applyFont="1" applyBorder="1" applyAlignment="1" applyProtection="1">
      <alignment horizontal="center" vertical="center"/>
    </xf>
    <xf numFmtId="49" fontId="8" fillId="0" borderId="8" xfId="0" applyNumberFormat="1" applyFont="1" applyBorder="1" applyAlignment="1" applyProtection="1">
      <alignment horizontal="center" vertical="center"/>
    </xf>
    <xf numFmtId="49" fontId="10" fillId="0" borderId="5" xfId="0" applyNumberFormat="1" applyFont="1" applyBorder="1" applyAlignment="1" applyProtection="1">
      <alignment horizontal="center" vertical="center" wrapText="1" readingOrder="1"/>
    </xf>
    <xf numFmtId="49" fontId="10" fillId="0" borderId="8" xfId="0" applyNumberFormat="1" applyFont="1" applyBorder="1" applyAlignment="1" applyProtection="1">
      <alignment horizontal="center" vertical="center" wrapText="1" readingOrder="1"/>
    </xf>
    <xf numFmtId="0" fontId="14" fillId="0" borderId="5" xfId="0" applyFont="1" applyBorder="1" applyAlignment="1" applyProtection="1">
      <alignment horizontal="center" vertical="center" wrapText="1" readingOrder="1"/>
    </xf>
    <xf numFmtId="0" fontId="14" fillId="0" borderId="8" xfId="0" applyFont="1" applyBorder="1" applyAlignment="1" applyProtection="1">
      <alignment horizontal="center" vertical="center" wrapText="1" readingOrder="1"/>
    </xf>
    <xf numFmtId="0" fontId="14" fillId="0" borderId="3" xfId="0" applyFont="1" applyBorder="1" applyAlignment="1" applyProtection="1">
      <alignment horizontal="center" vertical="center" wrapText="1" readingOrder="1"/>
    </xf>
    <xf numFmtId="0" fontId="14" fillId="0" borderId="6" xfId="0" applyFont="1" applyBorder="1" applyAlignment="1" applyProtection="1">
      <alignment horizontal="center" vertical="center" wrapText="1" readingOrder="1"/>
    </xf>
    <xf numFmtId="0" fontId="14" fillId="0" borderId="5" xfId="0" applyFont="1" applyFill="1" applyBorder="1" applyAlignment="1" applyProtection="1">
      <alignment horizontal="center" vertical="center" wrapText="1" readingOrder="1"/>
      <protection locked="0"/>
    </xf>
    <xf numFmtId="0" fontId="14" fillId="0" borderId="8" xfId="0" applyFont="1" applyFill="1" applyBorder="1" applyAlignment="1" applyProtection="1">
      <alignment horizontal="center" vertical="center" wrapText="1" readingOrder="1"/>
      <protection locked="0"/>
    </xf>
    <xf numFmtId="2" fontId="17" fillId="0" borderId="3" xfId="0" applyNumberFormat="1" applyFont="1" applyBorder="1" applyAlignment="1" applyProtection="1">
      <alignment horizontal="left" vertical="center"/>
    </xf>
    <xf numFmtId="2" fontId="17" fillId="0" borderId="7" xfId="0" applyNumberFormat="1" applyFont="1" applyBorder="1" applyAlignment="1" applyProtection="1">
      <alignment horizontal="left" vertical="center"/>
    </xf>
    <xf numFmtId="2" fontId="17" fillId="0" borderId="6" xfId="0" applyNumberFormat="1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 wrapText="1"/>
    </xf>
    <xf numFmtId="0" fontId="7" fillId="0" borderId="1" xfId="0" applyFont="1" applyBorder="1" applyAlignment="1" applyProtection="1">
      <alignment readingOrder="1"/>
    </xf>
    <xf numFmtId="0" fontId="5" fillId="0" borderId="1" xfId="0" applyFont="1" applyBorder="1" applyAlignment="1" applyProtection="1"/>
    <xf numFmtId="0" fontId="7" fillId="0" borderId="1" xfId="0" applyFont="1" applyBorder="1" applyAlignment="1" applyProtection="1">
      <alignment horizontal="left" readingOrder="1"/>
    </xf>
    <xf numFmtId="0" fontId="5" fillId="0" borderId="1" xfId="0" applyFont="1" applyBorder="1" applyAlignment="1" applyProtection="1">
      <alignment horizontal="left"/>
    </xf>
    <xf numFmtId="0" fontId="22" fillId="0" borderId="6" xfId="0" applyFont="1" applyBorder="1" applyAlignment="1" applyProtection="1"/>
    <xf numFmtId="49" fontId="13" fillId="0" borderId="0" xfId="0" applyNumberFormat="1" applyFont="1" applyAlignment="1" applyProtection="1">
      <alignment horizontal="center"/>
    </xf>
    <xf numFmtId="2" fontId="2" fillId="0" borderId="2" xfId="0" applyNumberFormat="1" applyFont="1" applyBorder="1" applyAlignment="1" applyProtection="1"/>
    <xf numFmtId="2" fontId="2" fillId="0" borderId="9" xfId="0" applyNumberFormat="1" applyFont="1" applyBorder="1" applyAlignment="1" applyProtection="1"/>
    <xf numFmtId="2" fontId="2" fillId="0" borderId="10" xfId="0" applyNumberFormat="1" applyFont="1" applyBorder="1" applyAlignment="1" applyProtection="1"/>
    <xf numFmtId="2" fontId="13" fillId="0" borderId="11" xfId="0" applyNumberFormat="1" applyFont="1" applyBorder="1" applyAlignment="1" applyProtection="1">
      <alignment wrapText="1"/>
    </xf>
    <xf numFmtId="2" fontId="13" fillId="0" borderId="12" xfId="0" applyNumberFormat="1" applyFont="1" applyBorder="1" applyAlignment="1" applyProtection="1">
      <alignment wrapText="1"/>
    </xf>
    <xf numFmtId="2" fontId="13" fillId="0" borderId="13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0" fontId="20" fillId="0" borderId="1" xfId="0" applyFont="1" applyBorder="1" applyAlignment="1" applyProtection="1"/>
    <xf numFmtId="49" fontId="13" fillId="0" borderId="5" xfId="0" applyNumberFormat="1" applyFont="1" applyBorder="1" applyAlignment="1" applyProtection="1">
      <alignment horizontal="center" vertical="center"/>
    </xf>
    <xf numFmtId="49" fontId="13" fillId="0" borderId="8" xfId="0" applyNumberFormat="1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 wrapText="1" readingOrder="1"/>
    </xf>
    <xf numFmtId="0" fontId="11" fillId="0" borderId="8" xfId="0" applyFont="1" applyBorder="1" applyAlignment="1" applyProtection="1">
      <alignment horizontal="center" vertical="center" wrapText="1" readingOrder="1"/>
    </xf>
    <xf numFmtId="0" fontId="11" fillId="0" borderId="3" xfId="0" applyFont="1" applyBorder="1" applyAlignment="1" applyProtection="1">
      <alignment horizontal="center" vertical="center" wrapText="1" readingOrder="1"/>
    </xf>
    <xf numFmtId="0" fontId="11" fillId="0" borderId="6" xfId="0" applyFont="1" applyBorder="1" applyAlignment="1" applyProtection="1">
      <alignment horizontal="center" vertical="center" wrapText="1" readingOrder="1"/>
    </xf>
    <xf numFmtId="0" fontId="11" fillId="0" borderId="5" xfId="0" applyFont="1" applyFill="1" applyBorder="1" applyAlignment="1" applyProtection="1">
      <alignment horizontal="center" vertical="center" wrapText="1" readingOrder="1"/>
      <protection locked="0"/>
    </xf>
    <xf numFmtId="0" fontId="11" fillId="0" borderId="8" xfId="0" applyFont="1" applyFill="1" applyBorder="1" applyAlignment="1" applyProtection="1">
      <alignment horizontal="center" vertical="center" wrapText="1" readingOrder="1"/>
      <protection locked="0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20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center" wrapText="1"/>
    </xf>
    <xf numFmtId="0" fontId="10" fillId="0" borderId="1" xfId="0" applyFont="1" applyBorder="1" applyAlignment="1" applyProtection="1">
      <alignment readingOrder="1"/>
    </xf>
    <xf numFmtId="0" fontId="10" fillId="0" borderId="1" xfId="0" applyFont="1" applyBorder="1" applyAlignment="1" applyProtection="1">
      <alignment horizontal="left" readingOrder="1"/>
    </xf>
    <xf numFmtId="0" fontId="20" fillId="0" borderId="1" xfId="0" applyFont="1" applyBorder="1" applyAlignment="1" applyProtection="1">
      <alignment horizontal="left"/>
    </xf>
    <xf numFmtId="2" fontId="1" fillId="0" borderId="2" xfId="0" applyNumberFormat="1" applyFont="1" applyBorder="1" applyAlignment="1" applyProtection="1"/>
    <xf numFmtId="2" fontId="1" fillId="0" borderId="9" xfId="0" applyNumberFormat="1" applyFont="1" applyBorder="1" applyAlignment="1" applyProtection="1"/>
    <xf numFmtId="2" fontId="1" fillId="0" borderId="10" xfId="0" applyNumberFormat="1" applyFont="1" applyBorder="1" applyAlignment="1" applyProtection="1"/>
    <xf numFmtId="2" fontId="26" fillId="0" borderId="11" xfId="0" applyNumberFormat="1" applyFont="1" applyBorder="1" applyAlignment="1" applyProtection="1">
      <alignment wrapText="1"/>
    </xf>
    <xf numFmtId="2" fontId="26" fillId="0" borderId="12" xfId="0" applyNumberFormat="1" applyFont="1" applyBorder="1" applyAlignment="1" applyProtection="1">
      <alignment wrapText="1"/>
    </xf>
    <xf numFmtId="2" fontId="26" fillId="0" borderId="13" xfId="0" applyNumberFormat="1" applyFont="1" applyBorder="1" applyAlignment="1" applyProtection="1">
      <alignment wrapText="1"/>
    </xf>
    <xf numFmtId="49" fontId="8" fillId="0" borderId="1" xfId="0" applyNumberFormat="1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left" vertical="center"/>
    </xf>
    <xf numFmtId="0" fontId="20" fillId="0" borderId="1" xfId="0" applyFont="1" applyBorder="1" applyAlignment="1" applyProtection="1">
      <alignment horizontal="left" vertical="center"/>
    </xf>
    <xf numFmtId="2" fontId="12" fillId="0" borderId="5" xfId="0" applyNumberFormat="1" applyFont="1" applyBorder="1" applyAlignment="1" applyProtection="1">
      <alignment horizontal="center"/>
      <protection locked="0"/>
    </xf>
    <xf numFmtId="2" fontId="12" fillId="0" borderId="8" xfId="0" applyNumberFormat="1" applyFont="1" applyBorder="1" applyAlignment="1" applyProtection="1">
      <alignment horizontal="center"/>
      <protection locked="0"/>
    </xf>
    <xf numFmtId="49" fontId="13" fillId="0" borderId="5" xfId="0" applyNumberFormat="1" applyFont="1" applyBorder="1" applyAlignment="1" applyProtection="1">
      <alignment horizontal="center"/>
      <protection locked="0"/>
    </xf>
    <xf numFmtId="49" fontId="13" fillId="0" borderId="8" xfId="0" applyNumberFormat="1" applyFont="1" applyBorder="1" applyAlignment="1" applyProtection="1">
      <alignment horizontal="center"/>
      <protection locked="0"/>
    </xf>
    <xf numFmtId="49" fontId="12" fillId="0" borderId="5" xfId="0" applyNumberFormat="1" applyFont="1" applyBorder="1" applyAlignment="1" applyProtection="1">
      <alignment horizontal="center" vertical="center" wrapText="1"/>
      <protection locked="0"/>
    </xf>
    <xf numFmtId="49" fontId="12" fillId="0" borderId="8" xfId="0" applyNumberFormat="1" applyFont="1" applyBorder="1" applyAlignment="1" applyProtection="1">
      <alignment horizontal="center" vertical="center" wrapText="1"/>
      <protection locked="0"/>
    </xf>
    <xf numFmtId="2" fontId="12" fillId="0" borderId="5" xfId="0" applyNumberFormat="1" applyFont="1" applyBorder="1" applyAlignment="1" applyProtection="1">
      <alignment horizontal="center"/>
    </xf>
    <xf numFmtId="2" fontId="12" fillId="0" borderId="8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1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2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3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4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opLeftCell="A25" zoomScale="75" zoomScaleNormal="75" workbookViewId="0">
      <selection activeCell="F28" sqref="F28"/>
    </sheetView>
  </sheetViews>
  <sheetFormatPr defaultColWidth="8.85546875" defaultRowHeight="15"/>
  <cols>
    <col min="1" max="1" width="5" style="4" customWidth="1"/>
    <col min="2" max="2" width="65.710937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65" t="s">
        <v>41</v>
      </c>
      <c r="F1" s="165"/>
      <c r="G1" s="165"/>
    </row>
    <row r="2" spans="1:7" ht="30.6" customHeight="1">
      <c r="A2" s="166" t="s">
        <v>66</v>
      </c>
      <c r="B2" s="166"/>
      <c r="C2" s="166"/>
      <c r="D2" s="166"/>
      <c r="E2" s="166"/>
      <c r="F2" s="166"/>
      <c r="G2" s="166"/>
    </row>
    <row r="3" spans="1:7" ht="15.75">
      <c r="B3" s="7"/>
      <c r="C3" s="8"/>
      <c r="D3" s="8"/>
      <c r="E3" s="8"/>
      <c r="F3" s="8"/>
    </row>
    <row r="4" spans="1:7">
      <c r="B4" s="9" t="s">
        <v>0</v>
      </c>
      <c r="C4" s="167" t="s">
        <v>50</v>
      </c>
      <c r="D4" s="168"/>
      <c r="E4" s="168"/>
      <c r="F4" s="42"/>
    </row>
    <row r="5" spans="1:7">
      <c r="B5" s="9" t="s">
        <v>1</v>
      </c>
      <c r="C5" s="169">
        <v>4</v>
      </c>
      <c r="D5" s="170"/>
      <c r="E5" s="170"/>
      <c r="F5" s="43"/>
    </row>
    <row r="6" spans="1:7">
      <c r="B6" s="10" t="s">
        <v>2</v>
      </c>
      <c r="C6" s="169">
        <v>7505.5</v>
      </c>
      <c r="D6" s="170"/>
      <c r="E6" s="170"/>
      <c r="F6" s="43"/>
    </row>
    <row r="7" spans="1:7" ht="18.75" customHeight="1">
      <c r="B7" s="39" t="s">
        <v>47</v>
      </c>
      <c r="C7" s="162">
        <v>64200</v>
      </c>
      <c r="D7" s="163"/>
      <c r="E7" s="164"/>
      <c r="F7" s="44"/>
    </row>
    <row r="8" spans="1:7">
      <c r="B8" s="56"/>
      <c r="D8" s="38">
        <v>9</v>
      </c>
    </row>
    <row r="9" spans="1:7">
      <c r="A9" s="149" t="s">
        <v>3</v>
      </c>
      <c r="B9" s="150"/>
      <c r="C9" s="150"/>
      <c r="D9" s="150"/>
      <c r="E9" s="151"/>
      <c r="F9" s="151"/>
      <c r="G9" s="151"/>
    </row>
    <row r="10" spans="1:7" ht="65.25" customHeight="1">
      <c r="A10" s="152" t="s">
        <v>4</v>
      </c>
      <c r="B10" s="154" t="s">
        <v>5</v>
      </c>
      <c r="C10" s="156" t="s">
        <v>32</v>
      </c>
      <c r="D10" s="158" t="s">
        <v>43</v>
      </c>
      <c r="E10" s="159"/>
      <c r="F10" s="156" t="s">
        <v>80</v>
      </c>
      <c r="G10" s="160" t="s">
        <v>52</v>
      </c>
    </row>
    <row r="11" spans="1:7" ht="45" customHeight="1">
      <c r="A11" s="153"/>
      <c r="B11" s="155"/>
      <c r="C11" s="157"/>
      <c r="D11" s="37" t="s">
        <v>6</v>
      </c>
      <c r="E11" s="45" t="s">
        <v>42</v>
      </c>
      <c r="F11" s="157"/>
      <c r="G11" s="161"/>
    </row>
    <row r="12" spans="1:7" ht="27" customHeight="1">
      <c r="A12" s="12" t="s">
        <v>7</v>
      </c>
      <c r="B12" s="13" t="s">
        <v>31</v>
      </c>
      <c r="C12" s="14">
        <f>D12*C6</f>
        <v>34825.519999999997</v>
      </c>
      <c r="D12" s="14">
        <v>4.6399999999999997</v>
      </c>
      <c r="E12" s="15">
        <f>C12*12</f>
        <v>417906.24</v>
      </c>
      <c r="F12" s="15">
        <f>C12*12</f>
        <v>417906.24</v>
      </c>
      <c r="G12" s="40"/>
    </row>
    <row r="13" spans="1:7" ht="24" customHeight="1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899999999999999" customHeight="1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>
      <c r="A16" s="2" t="s">
        <v>13</v>
      </c>
      <c r="B16" s="46" t="s">
        <v>58</v>
      </c>
      <c r="C16" s="15">
        <f t="shared" ref="C16:C37" si="0">E16/12</f>
        <v>111</v>
      </c>
      <c r="D16" s="15">
        <f>C16/C6</f>
        <v>1.4789154619945373E-2</v>
      </c>
      <c r="E16" s="3">
        <v>1332</v>
      </c>
      <c r="F16" s="15">
        <v>1332</v>
      </c>
      <c r="G16" s="3"/>
    </row>
    <row r="17" spans="1:7" ht="18.75">
      <c r="A17" s="2" t="s">
        <v>14</v>
      </c>
      <c r="B17" s="1" t="s">
        <v>38</v>
      </c>
      <c r="C17" s="15">
        <f t="shared" si="0"/>
        <v>143.1</v>
      </c>
      <c r="D17" s="15">
        <f>C17/C6</f>
        <v>1.9066018253280928E-2</v>
      </c>
      <c r="E17" s="15">
        <v>1717.2</v>
      </c>
      <c r="F17" s="15">
        <v>1717.2</v>
      </c>
      <c r="G17" s="3"/>
    </row>
    <row r="18" spans="1:7" ht="16.5" customHeight="1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0.93264939044700557</v>
      </c>
      <c r="E20" s="3">
        <v>84000</v>
      </c>
      <c r="F20" s="15">
        <v>0</v>
      </c>
      <c r="G20" s="3">
        <v>84000</v>
      </c>
    </row>
    <row r="21" spans="1:7" ht="18.75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>
      <c r="A22" s="2" t="s">
        <v>18</v>
      </c>
      <c r="B22" s="1" t="s">
        <v>67</v>
      </c>
      <c r="C22" s="15">
        <f t="shared" si="0"/>
        <v>666.66666666666663</v>
      </c>
      <c r="D22" s="15">
        <f>C22/C6</f>
        <v>8.8823751471143381E-2</v>
      </c>
      <c r="E22" s="3">
        <v>8000</v>
      </c>
      <c r="F22" s="15">
        <v>8000</v>
      </c>
      <c r="G22" s="3"/>
    </row>
    <row r="23" spans="1:7" s="51" customFormat="1" ht="20.25" customHeight="1">
      <c r="A23" s="47" t="s">
        <v>19</v>
      </c>
      <c r="B23" s="48" t="s">
        <v>48</v>
      </c>
      <c r="C23" s="49">
        <f t="shared" si="0"/>
        <v>515</v>
      </c>
      <c r="D23" s="49">
        <f>C23/C6</f>
        <v>6.8616348011458259E-2</v>
      </c>
      <c r="E23" s="50">
        <v>6180</v>
      </c>
      <c r="F23" s="53">
        <v>6180</v>
      </c>
      <c r="G23" s="50"/>
    </row>
    <row r="24" spans="1:7" ht="18.75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0.39970688162014523</v>
      </c>
      <c r="E24" s="3">
        <v>36000</v>
      </c>
      <c r="F24" s="15">
        <v>36000</v>
      </c>
      <c r="G24" s="3"/>
    </row>
    <row r="25" spans="1:7" ht="18.75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0.66617813603357534</v>
      </c>
      <c r="E25" s="15">
        <v>60000</v>
      </c>
      <c r="F25" s="15">
        <v>0</v>
      </c>
      <c r="G25" s="3">
        <v>60000</v>
      </c>
    </row>
    <row r="26" spans="1:7" s="52" customFormat="1" ht="19.5" customHeight="1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0.61066329136411068</v>
      </c>
      <c r="E27" s="15">
        <v>55000</v>
      </c>
      <c r="F27" s="15">
        <v>55000</v>
      </c>
      <c r="G27" s="3"/>
    </row>
    <row r="28" spans="1:7" ht="18.75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0.67506051118068977</v>
      </c>
      <c r="E30" s="3">
        <v>60800</v>
      </c>
      <c r="F30" s="3">
        <v>0</v>
      </c>
      <c r="G30" s="3">
        <v>60800</v>
      </c>
    </row>
    <row r="31" spans="1:7" ht="18.75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0.67506051118068977</v>
      </c>
      <c r="E31" s="3">
        <v>60800</v>
      </c>
      <c r="F31" s="3">
        <v>0</v>
      </c>
      <c r="G31" s="3">
        <v>60800</v>
      </c>
    </row>
    <row r="32" spans="1:7" ht="18.75">
      <c r="A32" s="2" t="s">
        <v>56</v>
      </c>
      <c r="B32" s="1" t="s">
        <v>78</v>
      </c>
      <c r="C32" s="15">
        <f t="shared" si="0"/>
        <v>666.66666666666663</v>
      </c>
      <c r="D32" s="15">
        <v>1.07</v>
      </c>
      <c r="E32" s="3">
        <v>8000</v>
      </c>
      <c r="F32" s="3">
        <v>8000</v>
      </c>
      <c r="G32" s="3"/>
    </row>
    <row r="33" spans="1:7" ht="19.5" customHeight="1">
      <c r="A33" s="2" t="s">
        <v>57</v>
      </c>
      <c r="B33" s="1" t="s">
        <v>77</v>
      </c>
      <c r="C33" s="15">
        <f t="shared" si="0"/>
        <v>291.66666666666669</v>
      </c>
      <c r="D33" s="15">
        <v>0.47</v>
      </c>
      <c r="E33" s="3">
        <v>3500</v>
      </c>
      <c r="F33" s="3">
        <v>3500</v>
      </c>
      <c r="G33" s="3"/>
    </row>
    <row r="34" spans="1:7" ht="18.75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>
      <c r="A35" s="2" t="s">
        <v>74</v>
      </c>
      <c r="B35" s="1"/>
      <c r="C35" s="15"/>
      <c r="D35" s="15"/>
      <c r="E35" s="3"/>
      <c r="F35" s="3"/>
      <c r="G35" s="3"/>
    </row>
    <row r="36" spans="1:7" ht="18.75">
      <c r="A36" s="2" t="s">
        <v>75</v>
      </c>
      <c r="B36" s="1"/>
      <c r="C36" s="15"/>
      <c r="D36" s="15"/>
      <c r="E36" s="3"/>
      <c r="F36" s="3"/>
      <c r="G36" s="3"/>
    </row>
    <row r="37" spans="1:7" ht="18.75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>
      <c r="A38" s="17"/>
      <c r="B38" s="18" t="s">
        <v>20</v>
      </c>
      <c r="C38" s="14">
        <f>SUM(C14:C37)</f>
        <v>79405.018333333355</v>
      </c>
      <c r="D38" s="14">
        <f>SUM(D14:D37)</f>
        <v>11.991893278262607</v>
      </c>
      <c r="E38" s="14">
        <f>SUM(E14:E37)</f>
        <v>952860.22</v>
      </c>
      <c r="F38" s="14">
        <f>SUM(F14:F37)</f>
        <v>327260.21999999997</v>
      </c>
      <c r="G38" s="14">
        <f>SUM(G14:G37)</f>
        <v>625600</v>
      </c>
    </row>
    <row r="39" spans="1:7" ht="18.75">
      <c r="A39" s="2"/>
      <c r="B39" s="1" t="s">
        <v>44</v>
      </c>
      <c r="C39" s="15"/>
      <c r="D39" s="15">
        <f>D30+D29+D28+D27+D26+D25+D24+D22+D21+D20+D19+D17+D16+D15+D14+D23</f>
        <v>9.5103615126684868</v>
      </c>
      <c r="E39" s="3"/>
      <c r="F39" s="3">
        <f>(F31+F32+F33+F30+F29+F28+F27+F26+F25+F24+F23+F22+F21+F20+F19+F18+F17+F16+F15+F14)/12/C6</f>
        <v>3.6335600559589638</v>
      </c>
      <c r="G39" s="3">
        <f>(G31+G32+G33+G30+G29+G28+G27+G26+G25+G24+G23+G22+G21+G20+G19+G18+G17+G16+G15+G14)/12/C6</f>
        <v>6.9460173650434127</v>
      </c>
    </row>
    <row r="40" spans="1:7" ht="37.5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2.9062664160607752</v>
      </c>
      <c r="E40" s="62">
        <f>C40*12</f>
        <v>261755.79102892976</v>
      </c>
      <c r="F40" s="20">
        <f>D8*0.12+C48*0.12/C6</f>
        <v>1.1103777230031311</v>
      </c>
      <c r="G40" s="20">
        <f>F40/F39*G39</f>
        <v>2.122629825008242</v>
      </c>
    </row>
    <row r="41" spans="1:7" ht="37.5">
      <c r="A41" s="21" t="s">
        <v>22</v>
      </c>
      <c r="B41" s="22" t="s">
        <v>23</v>
      </c>
      <c r="C41" s="14">
        <f>D41*C6</f>
        <v>6011.2631341207916</v>
      </c>
      <c r="D41" s="14">
        <f>F41/F39*D39</f>
        <v>0.8009144139791875</v>
      </c>
      <c r="E41" s="62">
        <f>C41*12</f>
        <v>72135.157609449496</v>
      </c>
      <c r="F41" s="14">
        <f>D8*0.034</f>
        <v>0.30600000000000005</v>
      </c>
      <c r="G41" s="14">
        <f>F41/F39*G39</f>
        <v>0.58495835515847294</v>
      </c>
    </row>
    <row r="42" spans="1:7" ht="56.25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>
      <c r="A43" s="17"/>
      <c r="B43" s="22" t="s">
        <v>26</v>
      </c>
      <c r="C43" s="14"/>
      <c r="D43" s="14">
        <f>D41+D40+D38+D12+D42</f>
        <v>20.339074108302569</v>
      </c>
      <c r="E43" s="14"/>
      <c r="F43" s="14">
        <f>(F38+F12)/12/C6+F40+F41</f>
        <v>9.6899377789620935</v>
      </c>
      <c r="G43" s="14">
        <f>(G38+G12)/12/C6+G40+G41</f>
        <v>9.6536055452101284</v>
      </c>
    </row>
    <row r="44" spans="1:7" ht="18.75">
      <c r="A44" s="17"/>
      <c r="B44" s="144" t="s">
        <v>35</v>
      </c>
      <c r="C44" s="145"/>
      <c r="D44" s="146">
        <f>D43-(C7/12/C6+(D46)/C6)</f>
        <v>19.403493534057016</v>
      </c>
      <c r="E44" s="147"/>
      <c r="F44" s="55">
        <f>F43-(C7+D46*12)/12/C6</f>
        <v>8.7543572047165394</v>
      </c>
      <c r="G44" s="14"/>
    </row>
    <row r="45" spans="1:7">
      <c r="A45" s="24"/>
      <c r="B45" s="24"/>
      <c r="C45" s="25"/>
      <c r="D45" s="25"/>
      <c r="E45" s="25"/>
      <c r="F45" s="25"/>
    </row>
    <row r="46" spans="1:7" ht="20.25">
      <c r="A46" s="24"/>
      <c r="B46" s="148" t="s">
        <v>34</v>
      </c>
      <c r="C46" s="148"/>
      <c r="D46" s="26">
        <f>C48/100*88</f>
        <v>1672</v>
      </c>
    </row>
    <row r="47" spans="1:7">
      <c r="A47" s="24"/>
      <c r="B47" s="24"/>
      <c r="C47" s="25"/>
      <c r="D47" s="25"/>
      <c r="E47" s="25"/>
      <c r="F47" s="25"/>
    </row>
    <row r="48" spans="1:7" ht="18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>
      <c r="A51" s="27"/>
      <c r="B51" s="28" t="s">
        <v>29</v>
      </c>
      <c r="C51" s="33"/>
      <c r="D51" s="30"/>
      <c r="E51" s="30"/>
      <c r="F51" s="30"/>
      <c r="G51" s="31"/>
    </row>
    <row r="52" spans="1:7" ht="18.75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>
      <c r="A55" s="27"/>
      <c r="B55" s="30"/>
      <c r="C55" s="30"/>
      <c r="D55" s="30"/>
      <c r="E55" s="31"/>
      <c r="F55" s="6"/>
      <c r="G55" s="6"/>
    </row>
    <row r="56" spans="1:7">
      <c r="A56" s="27"/>
      <c r="B56" s="30"/>
      <c r="C56" s="30"/>
      <c r="D56" s="30"/>
      <c r="E56" s="31"/>
      <c r="F56" s="6"/>
      <c r="G56" s="6"/>
    </row>
    <row r="57" spans="1:7">
      <c r="A57" s="27"/>
      <c r="B57" s="30"/>
      <c r="C57" s="30"/>
      <c r="D57" s="30"/>
      <c r="E57" s="31"/>
      <c r="F57" s="6"/>
      <c r="G57" s="6"/>
    </row>
    <row r="58" spans="1:7" ht="48.75" customHeight="1">
      <c r="A58" s="57" t="s">
        <v>39</v>
      </c>
      <c r="B58" s="57"/>
      <c r="C58" s="35"/>
      <c r="D58" s="57"/>
      <c r="E58" s="30"/>
      <c r="F58" s="30"/>
      <c r="G58" s="31"/>
    </row>
    <row r="59" spans="1:7">
      <c r="A59" s="24"/>
      <c r="B59" s="24"/>
      <c r="C59" s="35"/>
      <c r="D59" s="25"/>
      <c r="E59" s="25"/>
      <c r="F59" s="25"/>
    </row>
    <row r="60" spans="1:7">
      <c r="A60" s="34"/>
      <c r="B60" s="34"/>
      <c r="C60" s="35"/>
      <c r="D60" s="35"/>
      <c r="E60" s="35"/>
      <c r="F60" s="35"/>
    </row>
    <row r="61" spans="1:7">
      <c r="A61" s="34"/>
      <c r="B61" s="34"/>
      <c r="C61" s="35"/>
      <c r="D61" s="35"/>
      <c r="E61" s="35"/>
      <c r="F61" s="35"/>
    </row>
    <row r="62" spans="1:7">
      <c r="A62" s="34"/>
      <c r="B62" s="34"/>
      <c r="C62" s="35"/>
      <c r="D62" s="35"/>
      <c r="E62" s="35"/>
      <c r="F62" s="35"/>
    </row>
    <row r="63" spans="1:7">
      <c r="A63" s="34"/>
      <c r="B63" s="34"/>
      <c r="C63" s="35"/>
      <c r="D63" s="35"/>
      <c r="E63" s="35"/>
      <c r="F63" s="35"/>
    </row>
    <row r="64" spans="1:7">
      <c r="A64" s="34"/>
      <c r="B64" s="34"/>
      <c r="C64" s="35"/>
      <c r="D64" s="35"/>
      <c r="E64" s="35"/>
      <c r="F64" s="35"/>
    </row>
    <row r="65" spans="1:6">
      <c r="A65" s="34"/>
      <c r="B65" s="34"/>
      <c r="C65" s="35"/>
      <c r="D65" s="35"/>
      <c r="E65" s="35"/>
      <c r="F65" s="35"/>
    </row>
    <row r="66" spans="1:6">
      <c r="A66" s="34"/>
      <c r="B66" s="34"/>
      <c r="C66" s="35"/>
      <c r="D66" s="35"/>
      <c r="E66" s="35"/>
      <c r="F66" s="35"/>
    </row>
    <row r="67" spans="1:6">
      <c r="A67" s="34"/>
      <c r="B67" s="34"/>
      <c r="C67" s="35"/>
      <c r="D67" s="35"/>
      <c r="E67" s="35"/>
      <c r="F67" s="35"/>
    </row>
    <row r="68" spans="1:6">
      <c r="A68" s="34"/>
      <c r="B68" s="34"/>
      <c r="C68" s="35"/>
      <c r="D68" s="35"/>
      <c r="E68" s="35"/>
      <c r="F68" s="35"/>
    </row>
    <row r="69" spans="1:6">
      <c r="A69" s="34"/>
      <c r="B69" s="34"/>
      <c r="C69" s="35"/>
      <c r="D69" s="35"/>
      <c r="E69" s="35"/>
      <c r="F69" s="35"/>
    </row>
    <row r="70" spans="1:6">
      <c r="A70" s="34"/>
      <c r="B70" s="34"/>
      <c r="C70" s="35"/>
      <c r="D70" s="35"/>
      <c r="E70" s="35"/>
      <c r="F70" s="35"/>
    </row>
    <row r="71" spans="1:6">
      <c r="C71" s="35"/>
      <c r="D71" s="35"/>
      <c r="E71" s="35"/>
      <c r="F71" s="35"/>
    </row>
    <row r="72" spans="1:6">
      <c r="C72" s="35"/>
      <c r="D72" s="35"/>
      <c r="E72" s="35"/>
      <c r="F72" s="35"/>
    </row>
    <row r="73" spans="1:6">
      <c r="C73" s="35"/>
      <c r="D73" s="35"/>
      <c r="E73" s="35"/>
      <c r="F73" s="35"/>
    </row>
    <row r="74" spans="1:6">
      <c r="C74" s="35"/>
      <c r="D74" s="35"/>
      <c r="E74" s="35"/>
      <c r="F74" s="35"/>
    </row>
    <row r="75" spans="1:6">
      <c r="C75" s="35"/>
      <c r="D75" s="35"/>
      <c r="E75" s="35"/>
      <c r="F75" s="35"/>
    </row>
    <row r="76" spans="1:6">
      <c r="C76" s="35"/>
      <c r="D76" s="35"/>
      <c r="E76" s="35"/>
      <c r="F76" s="35"/>
    </row>
    <row r="77" spans="1:6">
      <c r="C77" s="35"/>
      <c r="D77" s="35"/>
      <c r="E77" s="35"/>
      <c r="F77" s="35"/>
    </row>
    <row r="78" spans="1:6">
      <c r="C78" s="35"/>
      <c r="D78" s="35"/>
      <c r="E78" s="35"/>
      <c r="F78" s="35"/>
    </row>
    <row r="79" spans="1:6">
      <c r="C79" s="35"/>
      <c r="D79" s="35"/>
      <c r="E79" s="35"/>
      <c r="F79" s="35"/>
    </row>
    <row r="80" spans="1:6">
      <c r="C80" s="35"/>
      <c r="D80" s="35"/>
      <c r="E80" s="35"/>
      <c r="F80" s="35"/>
    </row>
    <row r="81" spans="3:6">
      <c r="C81" s="35"/>
      <c r="D81" s="35"/>
      <c r="E81" s="35"/>
      <c r="F81" s="35"/>
    </row>
    <row r="82" spans="3:6">
      <c r="C82" s="35"/>
      <c r="D82" s="35"/>
      <c r="E82" s="35"/>
      <c r="F82" s="35"/>
    </row>
    <row r="83" spans="3:6">
      <c r="C83" s="35"/>
      <c r="D83" s="35"/>
      <c r="E83" s="35"/>
      <c r="F83" s="35"/>
    </row>
    <row r="84" spans="3:6">
      <c r="C84" s="35"/>
      <c r="D84" s="35"/>
      <c r="E84" s="35"/>
      <c r="F84" s="35"/>
    </row>
    <row r="85" spans="3:6">
      <c r="C85" s="35"/>
      <c r="D85" s="35"/>
      <c r="E85" s="35"/>
      <c r="F85" s="35"/>
    </row>
    <row r="86" spans="3:6">
      <c r="C86" s="35"/>
      <c r="D86" s="35"/>
      <c r="E86" s="35"/>
      <c r="F86" s="35"/>
    </row>
    <row r="87" spans="3:6">
      <c r="C87" s="35"/>
      <c r="D87" s="35"/>
      <c r="E87" s="35"/>
      <c r="F87" s="35"/>
    </row>
    <row r="88" spans="3:6">
      <c r="C88" s="35"/>
      <c r="D88" s="35"/>
      <c r="E88" s="35"/>
      <c r="F88" s="35"/>
    </row>
    <row r="89" spans="3:6">
      <c r="C89" s="35"/>
      <c r="D89" s="35"/>
      <c r="E89" s="35"/>
      <c r="F89" s="35"/>
    </row>
    <row r="90" spans="3:6">
      <c r="C90" s="35"/>
      <c r="D90" s="35"/>
      <c r="E90" s="35"/>
      <c r="F90" s="35"/>
    </row>
    <row r="91" spans="3:6">
      <c r="C91" s="35"/>
      <c r="D91" s="35"/>
      <c r="E91" s="35"/>
      <c r="F91" s="35"/>
    </row>
    <row r="92" spans="3:6">
      <c r="C92" s="35"/>
      <c r="D92" s="35"/>
      <c r="E92" s="35"/>
      <c r="F92" s="35"/>
    </row>
    <row r="93" spans="3:6">
      <c r="C93" s="35"/>
      <c r="D93" s="35"/>
      <c r="E93" s="35"/>
      <c r="F93" s="35"/>
    </row>
    <row r="94" spans="3:6">
      <c r="C94" s="35"/>
      <c r="D94" s="35"/>
      <c r="E94" s="35"/>
      <c r="F94" s="35"/>
    </row>
    <row r="95" spans="3:6">
      <c r="C95" s="35"/>
      <c r="D95" s="35"/>
      <c r="E95" s="35"/>
      <c r="F95" s="35"/>
    </row>
    <row r="96" spans="3:6">
      <c r="C96" s="35"/>
      <c r="D96" s="35"/>
      <c r="E96" s="35"/>
      <c r="F96" s="35"/>
    </row>
    <row r="97" spans="3:6">
      <c r="C97" s="35"/>
      <c r="D97" s="35"/>
      <c r="E97" s="35"/>
      <c r="F97" s="35"/>
    </row>
    <row r="98" spans="3:6">
      <c r="C98" s="35"/>
      <c r="D98" s="35"/>
      <c r="E98" s="35"/>
      <c r="F98" s="35"/>
    </row>
    <row r="99" spans="3:6">
      <c r="C99" s="35"/>
      <c r="D99" s="35"/>
      <c r="E99" s="35"/>
      <c r="F99" s="35"/>
    </row>
    <row r="100" spans="3:6">
      <c r="C100" s="35"/>
      <c r="D100" s="35"/>
      <c r="E100" s="35"/>
      <c r="F100" s="35"/>
    </row>
    <row r="101" spans="3:6">
      <c r="C101" s="35"/>
      <c r="D101" s="35"/>
      <c r="E101" s="35"/>
      <c r="F101" s="35"/>
    </row>
    <row r="102" spans="3:6">
      <c r="D102" s="35"/>
      <c r="E102" s="35"/>
      <c r="F102" s="35"/>
    </row>
    <row r="103" spans="3:6">
      <c r="D103" s="35"/>
      <c r="E103" s="35"/>
      <c r="F103" s="35"/>
    </row>
    <row r="104" spans="3:6">
      <c r="D104" s="35"/>
      <c r="E104" s="35"/>
      <c r="F104" s="35"/>
    </row>
    <row r="105" spans="3:6">
      <c r="D105" s="35"/>
      <c r="E105" s="35"/>
      <c r="F105" s="35"/>
    </row>
    <row r="106" spans="3:6">
      <c r="D106" s="35"/>
      <c r="E106" s="35"/>
      <c r="F106" s="35"/>
    </row>
  </sheetData>
  <mergeCells count="16">
    <mergeCell ref="C7:E7"/>
    <mergeCell ref="E1:G1"/>
    <mergeCell ref="A2:G2"/>
    <mergeCell ref="C4:E4"/>
    <mergeCell ref="C5:E5"/>
    <mergeCell ref="C6:E6"/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</mergeCells>
  <pageMargins left="0.7" right="0.7" top="0.75" bottom="0.75" header="0.3" footer="0.3"/>
  <pageSetup paperSize="9"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3" t="s">
        <v>41</v>
      </c>
      <c r="F1" s="193"/>
      <c r="G1" s="193"/>
    </row>
    <row r="2" spans="1:7" ht="39.75" customHeight="1">
      <c r="A2" s="194" t="s">
        <v>115</v>
      </c>
      <c r="B2" s="194"/>
      <c r="C2" s="194"/>
      <c r="D2" s="194"/>
      <c r="E2" s="194"/>
      <c r="F2" s="194"/>
      <c r="G2" s="194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5" t="s">
        <v>116</v>
      </c>
      <c r="D4" s="181"/>
      <c r="E4" s="181"/>
      <c r="F4" s="74"/>
    </row>
    <row r="5" spans="1:7" ht="19.5">
      <c r="B5" s="73" t="s">
        <v>1</v>
      </c>
      <c r="C5" s="196">
        <v>6</v>
      </c>
      <c r="D5" s="197"/>
      <c r="E5" s="197"/>
      <c r="F5" s="77"/>
    </row>
    <row r="6" spans="1:7" ht="19.5">
      <c r="B6" s="78" t="s">
        <v>2</v>
      </c>
      <c r="C6" s="196">
        <v>3926.2</v>
      </c>
      <c r="D6" s="197"/>
      <c r="E6" s="197"/>
      <c r="F6" s="77"/>
    </row>
    <row r="7" spans="1:7" ht="19.5">
      <c r="B7" s="78" t="s">
        <v>89</v>
      </c>
      <c r="C7" s="79">
        <v>1250</v>
      </c>
      <c r="D7" s="80"/>
      <c r="E7" s="81"/>
      <c r="F7" s="77"/>
    </row>
    <row r="8" spans="1:7" ht="39">
      <c r="B8" s="98" t="s">
        <v>96</v>
      </c>
      <c r="C8" s="190"/>
      <c r="D8" s="191"/>
      <c r="E8" s="192"/>
      <c r="F8" s="83"/>
    </row>
    <row r="9" spans="1:7" ht="19.5">
      <c r="B9" s="108" t="s">
        <v>91</v>
      </c>
      <c r="C9" s="105">
        <v>404667.58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447586.80000000005</v>
      </c>
      <c r="D12" s="66">
        <f>C12/12</f>
        <v>37298.9</v>
      </c>
      <c r="E12" s="46"/>
    </row>
    <row r="13" spans="1:7">
      <c r="A13" s="179"/>
      <c r="B13" s="180"/>
      <c r="C13" s="180"/>
      <c r="D13" s="180"/>
      <c r="E13" s="181"/>
      <c r="F13" s="181"/>
      <c r="G13" s="181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2" t="s">
        <v>4</v>
      </c>
      <c r="B15" s="154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>
      <c r="A16" s="183"/>
      <c r="B16" s="155"/>
      <c r="C16" s="185"/>
      <c r="D16" s="116" t="s">
        <v>6</v>
      </c>
      <c r="E16" s="116" t="s">
        <v>42</v>
      </c>
      <c r="F16" s="185"/>
      <c r="G16" s="189"/>
    </row>
    <row r="17" spans="1:7">
      <c r="A17" s="117" t="s">
        <v>7</v>
      </c>
      <c r="B17" s="13" t="s">
        <v>31</v>
      </c>
      <c r="C17" s="15">
        <f>D17*C6</f>
        <v>18217.567999999999</v>
      </c>
      <c r="D17" s="15">
        <v>4.6399999999999997</v>
      </c>
      <c r="E17" s="15">
        <f>C17*12</f>
        <v>218610.81599999999</v>
      </c>
      <c r="F17" s="15">
        <f>C17*12</f>
        <v>218610.81599999999</v>
      </c>
      <c r="G17" s="40"/>
    </row>
    <row r="18" spans="1:7">
      <c r="A18" s="100" t="s">
        <v>10</v>
      </c>
      <c r="B18" s="18" t="s">
        <v>11</v>
      </c>
      <c r="C18" s="15">
        <f>0.47*C6</f>
        <v>1845.3139999999999</v>
      </c>
      <c r="D18" s="15">
        <v>0.47</v>
      </c>
      <c r="E18" s="15">
        <f>C18*12</f>
        <v>22143.767999999996</v>
      </c>
      <c r="F18" s="15">
        <f t="shared" ref="F18:F27" si="0">C18*12</f>
        <v>22143.767999999996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0.3438439203300902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2.8271611227140749E-2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244.79166666666666</v>
      </c>
      <c r="D21" s="15">
        <f>C21/C6</f>
        <v>6.2348241726520981E-2</v>
      </c>
      <c r="E21" s="15">
        <f>C7*2.35</f>
        <v>2937.5</v>
      </c>
      <c r="F21" s="15">
        <f t="shared" si="0"/>
        <v>2937.5</v>
      </c>
      <c r="G21" s="3"/>
    </row>
    <row r="22" spans="1:7">
      <c r="A22" s="118" t="s">
        <v>45</v>
      </c>
      <c r="B22" s="1" t="s">
        <v>85</v>
      </c>
      <c r="C22" s="15">
        <f>E22/12</f>
        <v>168.75000000000003</v>
      </c>
      <c r="D22" s="15">
        <f>C22/C7</f>
        <v>0.13500000000000001</v>
      </c>
      <c r="E22" s="15">
        <f>C7*1.62</f>
        <v>2025.0000000000002</v>
      </c>
      <c r="F22" s="15">
        <f t="shared" si="0"/>
        <v>2025.0000000000005</v>
      </c>
      <c r="G22" s="3"/>
    </row>
    <row r="23" spans="1:7" s="119" customFormat="1">
      <c r="A23" s="118"/>
      <c r="B23" s="1" t="s">
        <v>37</v>
      </c>
      <c r="C23" s="15">
        <f>C12*12%/12</f>
        <v>4475.8680000000004</v>
      </c>
      <c r="D23" s="15">
        <f>C23/C6</f>
        <v>1.1400000000000001</v>
      </c>
      <c r="E23" s="3">
        <f>C12*12%</f>
        <v>53710.416000000005</v>
      </c>
      <c r="F23" s="15">
        <f t="shared" si="0"/>
        <v>53710.416000000005</v>
      </c>
      <c r="G23" s="3"/>
    </row>
    <row r="24" spans="1:7" ht="37.5">
      <c r="A24" s="118"/>
      <c r="B24" s="1" t="s">
        <v>83</v>
      </c>
      <c r="C24" s="15">
        <f>C12*0.9%/12</f>
        <v>335.69010000000009</v>
      </c>
      <c r="D24" s="15">
        <f>C24/C6</f>
        <v>8.550000000000002E-2</v>
      </c>
      <c r="E24" s="3">
        <f>C12*0.9%</f>
        <v>4028.2812000000008</v>
      </c>
      <c r="F24" s="15">
        <f t="shared" si="0"/>
        <v>4028.2812000000013</v>
      </c>
      <c r="G24" s="3"/>
    </row>
    <row r="25" spans="1:7" s="119" customFormat="1">
      <c r="A25" s="118"/>
      <c r="B25" s="1" t="s">
        <v>84</v>
      </c>
      <c r="C25" s="15">
        <f>C12*2.5%/12</f>
        <v>932.4725000000002</v>
      </c>
      <c r="D25" s="15">
        <f>C25/C6</f>
        <v>0.23750000000000007</v>
      </c>
      <c r="E25" s="3">
        <f>C25*12</f>
        <v>11189.670000000002</v>
      </c>
      <c r="F25" s="15">
        <f t="shared" si="0"/>
        <v>11189.670000000002</v>
      </c>
      <c r="G25" s="3"/>
    </row>
    <row r="26" spans="1:7" s="121" customFormat="1">
      <c r="A26" s="120"/>
      <c r="B26" s="48" t="s">
        <v>108</v>
      </c>
      <c r="C26" s="49">
        <f>E26/12</f>
        <v>337.22298333333339</v>
      </c>
      <c r="D26" s="49">
        <f>E26/C6/12</f>
        <v>8.5890424159068154E-2</v>
      </c>
      <c r="E26" s="50">
        <f>C9*1%</f>
        <v>4046.6758000000004</v>
      </c>
      <c r="F26" s="15">
        <f t="shared" si="0"/>
        <v>4046.6758000000009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0.95578421883755282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31771.277249999996</v>
      </c>
      <c r="D28" s="14">
        <f>SUM(D17:D27)</f>
        <v>8.184138416280371</v>
      </c>
      <c r="E28" s="14">
        <f>SUM(E17:E27)</f>
        <v>381255.32700000005</v>
      </c>
      <c r="F28" s="14">
        <f>SUM(F17:F27)</f>
        <v>381255.32700000005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5166.3357500000075</v>
      </c>
      <c r="D31" s="91">
        <f>C31/C6</f>
        <v>1.315861583719629</v>
      </c>
      <c r="E31" s="91">
        <f>C31*12</f>
        <v>61996.02900000009</v>
      </c>
      <c r="F31" s="91">
        <f>E31</f>
        <v>61996.02900000009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4"/>
      <c r="C48" s="171"/>
      <c r="D48" s="146"/>
      <c r="E48" s="147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2" t="s">
        <v>34</v>
      </c>
      <c r="C50" s="172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3"/>
      <c r="C60" s="174"/>
      <c r="D60" s="174"/>
      <c r="E60" s="175"/>
      <c r="F60" s="76"/>
      <c r="G60" s="76"/>
    </row>
    <row r="61" spans="1:7" ht="63.75" customHeight="1">
      <c r="A61" s="128"/>
      <c r="B61" s="176" t="s">
        <v>95</v>
      </c>
      <c r="C61" s="177"/>
      <c r="D61" s="177"/>
      <c r="E61" s="178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tabSelected="1" topLeftCell="A13" zoomScale="73" zoomScaleNormal="73" workbookViewId="0">
      <selection activeCell="K38" sqref="K38"/>
    </sheetView>
  </sheetViews>
  <sheetFormatPr defaultColWidth="8.85546875" defaultRowHeight="18.75"/>
  <cols>
    <col min="1" max="1" width="8" style="72" customWidth="1"/>
    <col min="2" max="2" width="58" style="72" customWidth="1"/>
    <col min="3" max="4" width="15.28515625" style="72" customWidth="1"/>
    <col min="5" max="5" width="15.140625" style="72" customWidth="1"/>
    <col min="6" max="6" width="16" style="72" customWidth="1"/>
    <col min="7" max="7" width="11.140625" style="76" customWidth="1"/>
    <col min="8" max="8" width="12.85546875" style="76" customWidth="1"/>
    <col min="9" max="16384" width="8.85546875" style="76"/>
  </cols>
  <sheetData>
    <row r="1" spans="1:6">
      <c r="E1" s="193" t="s">
        <v>41</v>
      </c>
      <c r="F1" s="193"/>
    </row>
    <row r="2" spans="1:6" ht="36.75" customHeight="1">
      <c r="A2" s="194" t="s">
        <v>138</v>
      </c>
      <c r="B2" s="194"/>
      <c r="C2" s="194"/>
      <c r="D2" s="194"/>
      <c r="E2" s="194"/>
      <c r="F2" s="194"/>
    </row>
    <row r="3" spans="1:6" ht="19.5">
      <c r="B3" s="109"/>
      <c r="C3" s="110"/>
      <c r="D3" s="110"/>
      <c r="E3" s="110"/>
      <c r="F3" s="110"/>
    </row>
    <row r="4" spans="1:6" ht="19.5">
      <c r="B4" s="73" t="s">
        <v>0</v>
      </c>
      <c r="C4" s="195" t="s">
        <v>110</v>
      </c>
      <c r="D4" s="181"/>
      <c r="E4" s="181"/>
      <c r="F4" s="74"/>
    </row>
    <row r="5" spans="1:6" ht="19.5">
      <c r="B5" s="73" t="s">
        <v>1</v>
      </c>
      <c r="C5" s="196">
        <v>1</v>
      </c>
      <c r="D5" s="197"/>
      <c r="E5" s="197"/>
      <c r="F5" s="77"/>
    </row>
    <row r="6" spans="1:6" ht="19.5">
      <c r="B6" s="78" t="s">
        <v>2</v>
      </c>
      <c r="C6" s="196">
        <v>2720.69</v>
      </c>
      <c r="D6" s="197"/>
      <c r="E6" s="197"/>
      <c r="F6" s="77"/>
    </row>
    <row r="7" spans="1:6" ht="19.5">
      <c r="B7" s="78" t="s">
        <v>89</v>
      </c>
      <c r="C7" s="79">
        <v>407</v>
      </c>
      <c r="D7" s="80"/>
      <c r="E7" s="81"/>
      <c r="F7" s="77"/>
    </row>
    <row r="8" spans="1:6" ht="19.5">
      <c r="B8" s="108" t="s">
        <v>91</v>
      </c>
      <c r="C8" s="139">
        <v>1228840.02</v>
      </c>
      <c r="D8" s="106"/>
      <c r="E8" s="107"/>
      <c r="F8" s="83"/>
    </row>
    <row r="9" spans="1:6" ht="19.5">
      <c r="B9" s="133" t="s">
        <v>117</v>
      </c>
      <c r="C9" s="135">
        <v>1</v>
      </c>
      <c r="D9" s="134"/>
      <c r="E9" s="134"/>
      <c r="F9" s="83"/>
    </row>
    <row r="10" spans="1:6">
      <c r="B10" s="87" t="s">
        <v>87</v>
      </c>
      <c r="C10" s="88">
        <v>9.48</v>
      </c>
      <c r="D10" s="66"/>
      <c r="E10" s="46"/>
    </row>
    <row r="11" spans="1:6">
      <c r="B11" s="87" t="s">
        <v>93</v>
      </c>
      <c r="C11" s="88">
        <f>C46*12</f>
        <v>304200</v>
      </c>
      <c r="D11" s="66"/>
      <c r="E11" s="46"/>
    </row>
    <row r="12" spans="1:6">
      <c r="B12" s="87" t="s">
        <v>88</v>
      </c>
      <c r="C12" s="89">
        <f>C6*C10*12</f>
        <v>309505.69440000004</v>
      </c>
      <c r="D12" s="66"/>
      <c r="E12" s="46"/>
    </row>
    <row r="13" spans="1:6">
      <c r="A13" s="179"/>
      <c r="B13" s="180"/>
      <c r="C13" s="180"/>
      <c r="D13" s="180"/>
      <c r="E13" s="181"/>
      <c r="F13" s="181"/>
    </row>
    <row r="14" spans="1:6">
      <c r="A14" s="111"/>
      <c r="B14" s="112"/>
      <c r="C14" s="112"/>
      <c r="D14" s="113"/>
      <c r="E14" s="114"/>
      <c r="F14" s="115"/>
    </row>
    <row r="15" spans="1:6" ht="18.75" customHeight="1">
      <c r="A15" s="182" t="s">
        <v>4</v>
      </c>
      <c r="B15" s="154" t="s">
        <v>119</v>
      </c>
      <c r="C15" s="184" t="s">
        <v>32</v>
      </c>
      <c r="D15" s="186" t="s">
        <v>43</v>
      </c>
      <c r="E15" s="187"/>
      <c r="F15" s="184" t="s">
        <v>80</v>
      </c>
    </row>
    <row r="16" spans="1:6" ht="75">
      <c r="A16" s="183"/>
      <c r="B16" s="155"/>
      <c r="C16" s="185"/>
      <c r="D16" s="116" t="s">
        <v>6</v>
      </c>
      <c r="E16" s="116" t="s">
        <v>42</v>
      </c>
      <c r="F16" s="185"/>
    </row>
    <row r="17" spans="1:6">
      <c r="A17" s="117" t="s">
        <v>7</v>
      </c>
      <c r="B17" s="13" t="s">
        <v>31</v>
      </c>
      <c r="C17" s="15">
        <f>D17*C6</f>
        <v>13168.1396</v>
      </c>
      <c r="D17" s="15">
        <v>4.84</v>
      </c>
      <c r="E17" s="15">
        <f>C17*12</f>
        <v>158017.6752</v>
      </c>
      <c r="F17" s="15">
        <f>C17*12</f>
        <v>158017.6752</v>
      </c>
    </row>
    <row r="18" spans="1:6">
      <c r="A18" s="100" t="s">
        <v>121</v>
      </c>
      <c r="B18" s="18" t="s">
        <v>11</v>
      </c>
      <c r="C18" s="15">
        <f>D18*C6</f>
        <v>1822.8623000000002</v>
      </c>
      <c r="D18" s="15">
        <v>0.67</v>
      </c>
      <c r="E18" s="15">
        <f>C18*12</f>
        <v>21874.347600000001</v>
      </c>
      <c r="F18" s="15">
        <f t="shared" ref="F18:F26" si="0">C18*12</f>
        <v>21874.347600000001</v>
      </c>
    </row>
    <row r="19" spans="1:6" ht="37.5">
      <c r="A19" s="100" t="s">
        <v>122</v>
      </c>
      <c r="B19" s="18" t="s">
        <v>33</v>
      </c>
      <c r="C19" s="15">
        <v>1350</v>
      </c>
      <c r="D19" s="15">
        <f>C19/C6</f>
        <v>0.49619765574174196</v>
      </c>
      <c r="E19" s="15">
        <f>C19*12</f>
        <v>16200</v>
      </c>
      <c r="F19" s="15">
        <f t="shared" si="0"/>
        <v>16200</v>
      </c>
    </row>
    <row r="20" spans="1:6">
      <c r="A20" s="118" t="s">
        <v>123</v>
      </c>
      <c r="B20" s="46" t="s">
        <v>58</v>
      </c>
      <c r="C20" s="15">
        <f t="shared" ref="C20:C21" si="1">E20/12</f>
        <v>7.2974999999999994</v>
      </c>
      <c r="D20" s="143">
        <f>C20/C6</f>
        <v>2.6822239946484162E-3</v>
      </c>
      <c r="E20" s="3">
        <f>(C9*87.57)</f>
        <v>87.57</v>
      </c>
      <c r="F20" s="15">
        <f t="shared" si="0"/>
        <v>87.57</v>
      </c>
    </row>
    <row r="21" spans="1:6">
      <c r="A21" s="118" t="s">
        <v>124</v>
      </c>
      <c r="B21" s="1" t="s">
        <v>38</v>
      </c>
      <c r="C21" s="15">
        <f t="shared" si="1"/>
        <v>33.916666666666664</v>
      </c>
      <c r="D21" s="15">
        <f>C21/C7</f>
        <v>8.3333333333333329E-2</v>
      </c>
      <c r="E21" s="15">
        <f>C7*1</f>
        <v>407</v>
      </c>
      <c r="F21" s="15">
        <f t="shared" si="0"/>
        <v>407</v>
      </c>
    </row>
    <row r="22" spans="1:6">
      <c r="A22" s="118" t="s">
        <v>125</v>
      </c>
      <c r="B22" s="1" t="s">
        <v>85</v>
      </c>
      <c r="C22" s="15">
        <f>E22/12</f>
        <v>71.225000000000009</v>
      </c>
      <c r="D22" s="15">
        <f>C22/C7</f>
        <v>0.17500000000000002</v>
      </c>
      <c r="E22" s="15">
        <f>C7*2.1</f>
        <v>854.7</v>
      </c>
      <c r="F22" s="15">
        <f t="shared" si="0"/>
        <v>854.7</v>
      </c>
    </row>
    <row r="23" spans="1:6" s="119" customFormat="1" ht="37.5">
      <c r="A23" s="118" t="s">
        <v>126</v>
      </c>
      <c r="B23" s="1" t="s">
        <v>37</v>
      </c>
      <c r="C23" s="15">
        <f>C12*12%/12</f>
        <v>3095.0569440000004</v>
      </c>
      <c r="D23" s="15">
        <f>C23/C6</f>
        <v>1.1376000000000002</v>
      </c>
      <c r="E23" s="3">
        <f>C12*12%</f>
        <v>37140.683328000006</v>
      </c>
      <c r="F23" s="15">
        <f t="shared" si="0"/>
        <v>37140.683328000006</v>
      </c>
    </row>
    <row r="24" spans="1:6" ht="37.5">
      <c r="A24" s="118" t="s">
        <v>127</v>
      </c>
      <c r="B24" s="1" t="s">
        <v>83</v>
      </c>
      <c r="C24" s="15">
        <f>C12*0.9%/12</f>
        <v>232.12927080000006</v>
      </c>
      <c r="D24" s="15">
        <f>C24/C6</f>
        <v>8.5320000000000021E-2</v>
      </c>
      <c r="E24" s="3">
        <f>C12*0.9%</f>
        <v>2785.5512496000006</v>
      </c>
      <c r="F24" s="15">
        <f t="shared" si="0"/>
        <v>2785.5512496000006</v>
      </c>
    </row>
    <row r="25" spans="1:6" s="119" customFormat="1">
      <c r="A25" s="118" t="s">
        <v>128</v>
      </c>
      <c r="B25" s="1" t="s">
        <v>84</v>
      </c>
      <c r="C25" s="15">
        <f>E25/12</f>
        <v>644.80353000000014</v>
      </c>
      <c r="D25" s="15">
        <f>C25/C6</f>
        <v>0.23700000000000004</v>
      </c>
      <c r="E25" s="3">
        <f>C12*2.5%</f>
        <v>7737.6423600000016</v>
      </c>
      <c r="F25" s="15">
        <f t="shared" si="0"/>
        <v>7737.6423600000016</v>
      </c>
    </row>
    <row r="26" spans="1:6" s="121" customFormat="1">
      <c r="A26" s="120" t="s">
        <v>129</v>
      </c>
      <c r="B26" s="48" t="s">
        <v>108</v>
      </c>
      <c r="C26" s="49">
        <f>E26/12</f>
        <v>1024.0333499999999</v>
      </c>
      <c r="D26" s="49">
        <f>E26/C6/12</f>
        <v>0.37638736864545391</v>
      </c>
      <c r="E26" s="50">
        <f>C8*1%</f>
        <v>12288.4002</v>
      </c>
      <c r="F26" s="15">
        <f t="shared" si="0"/>
        <v>12288.4002</v>
      </c>
    </row>
    <row r="27" spans="1:6" s="123" customFormat="1">
      <c r="A27" s="122"/>
      <c r="B27" s="66" t="s">
        <v>92</v>
      </c>
      <c r="C27" s="14">
        <f>SUM(C17:C26)</f>
        <v>21449.464161466669</v>
      </c>
      <c r="D27" s="14">
        <f>SUM(D17:D26)</f>
        <v>8.103520581715177</v>
      </c>
      <c r="E27" s="14">
        <f>SUM(E17:E26)</f>
        <v>257393.56993760003</v>
      </c>
      <c r="F27" s="14">
        <f>SUM(F17:F26)</f>
        <v>257393.56993760003</v>
      </c>
    </row>
    <row r="28" spans="1:6" s="119" customFormat="1">
      <c r="A28" s="118"/>
      <c r="B28" s="1"/>
      <c r="C28" s="15"/>
      <c r="D28" s="15"/>
      <c r="E28" s="3"/>
      <c r="F28" s="3"/>
    </row>
    <row r="29" spans="1:6" s="119" customFormat="1">
      <c r="A29" s="118"/>
      <c r="B29" s="1"/>
      <c r="C29" s="15"/>
      <c r="D29" s="15"/>
      <c r="E29" s="3"/>
      <c r="F29" s="3"/>
    </row>
    <row r="30" spans="1:6" ht="56.25">
      <c r="A30" s="118"/>
      <c r="B30" s="136" t="s">
        <v>94</v>
      </c>
      <c r="C30" s="137">
        <f>(C10-D27)*C6</f>
        <v>3744.9737885333366</v>
      </c>
      <c r="D30" s="137">
        <f>C30/C6</f>
        <v>1.3764794182848235</v>
      </c>
      <c r="E30" s="137"/>
      <c r="F30" s="137">
        <f>C30*12</f>
        <v>44939.685462400041</v>
      </c>
    </row>
    <row r="31" spans="1:6">
      <c r="A31" s="118"/>
      <c r="B31" s="1"/>
      <c r="C31" s="15"/>
      <c r="D31" s="15"/>
      <c r="E31" s="3"/>
      <c r="F31" s="3"/>
    </row>
    <row r="32" spans="1:6">
      <c r="A32" s="210" t="s">
        <v>8</v>
      </c>
      <c r="B32" s="212" t="s">
        <v>120</v>
      </c>
      <c r="C32" s="214"/>
      <c r="D32" s="214"/>
      <c r="E32" s="208"/>
      <c r="F32" s="208"/>
    </row>
    <row r="33" spans="1:6">
      <c r="A33" s="211"/>
      <c r="B33" s="213"/>
      <c r="C33" s="215"/>
      <c r="D33" s="215"/>
      <c r="E33" s="209"/>
      <c r="F33" s="209"/>
    </row>
    <row r="34" spans="1:6">
      <c r="A34" s="142" t="s">
        <v>10</v>
      </c>
      <c r="B34" s="1" t="s">
        <v>131</v>
      </c>
      <c r="C34" s="15"/>
      <c r="D34" s="15"/>
      <c r="E34" s="3">
        <v>2500</v>
      </c>
      <c r="F34" s="3">
        <v>2500</v>
      </c>
    </row>
    <row r="35" spans="1:6">
      <c r="A35" s="118" t="s">
        <v>12</v>
      </c>
      <c r="B35" s="1" t="s">
        <v>132</v>
      </c>
      <c r="C35" s="15"/>
      <c r="D35" s="15"/>
      <c r="E35" s="3">
        <v>12000</v>
      </c>
      <c r="F35" s="3">
        <v>12000</v>
      </c>
    </row>
    <row r="36" spans="1:6">
      <c r="A36" s="118" t="s">
        <v>13</v>
      </c>
      <c r="B36" s="1" t="s">
        <v>133</v>
      </c>
      <c r="C36" s="15"/>
      <c r="D36" s="15"/>
      <c r="E36" s="3">
        <v>30500</v>
      </c>
      <c r="F36" s="3">
        <v>30500</v>
      </c>
    </row>
    <row r="37" spans="1:6">
      <c r="A37" s="22"/>
      <c r="B37" s="22" t="s">
        <v>134</v>
      </c>
      <c r="C37" s="23"/>
      <c r="D37" s="15"/>
      <c r="E37" s="23">
        <f>SUM(E34:E36)</f>
        <v>45000</v>
      </c>
      <c r="F37" s="23">
        <f>SUM(F34:F36)</f>
        <v>45000</v>
      </c>
    </row>
    <row r="38" spans="1:6">
      <c r="A38" s="100"/>
      <c r="B38" s="22" t="s">
        <v>130</v>
      </c>
      <c r="C38" s="14"/>
      <c r="D38" s="14">
        <f>((F37-F30)/C6/12)+C10</f>
        <v>9.4818474032200157</v>
      </c>
      <c r="E38" s="14"/>
      <c r="F38" s="14"/>
    </row>
    <row r="39" spans="1:6">
      <c r="A39" s="126"/>
      <c r="B39" s="126"/>
      <c r="C39" s="127"/>
      <c r="D39" s="127"/>
      <c r="E39" s="127"/>
      <c r="F39" s="127"/>
    </row>
    <row r="40" spans="1:6">
      <c r="A40" s="126"/>
      <c r="B40" s="126"/>
      <c r="C40" s="127"/>
      <c r="D40" s="127"/>
      <c r="E40" s="127"/>
      <c r="F40" s="127"/>
    </row>
    <row r="41" spans="1:6">
      <c r="A41" s="128"/>
      <c r="B41" s="22" t="s">
        <v>28</v>
      </c>
      <c r="C41" s="99"/>
      <c r="D41" s="129"/>
      <c r="E41" s="129"/>
      <c r="F41" s="129"/>
    </row>
    <row r="42" spans="1:6">
      <c r="A42" s="128"/>
      <c r="B42" s="22" t="s">
        <v>139</v>
      </c>
      <c r="C42" s="59">
        <v>25000</v>
      </c>
      <c r="D42" s="129"/>
      <c r="E42" s="129"/>
      <c r="F42" s="129"/>
    </row>
    <row r="43" spans="1:6">
      <c r="A43" s="128"/>
      <c r="B43" s="18" t="s">
        <v>137</v>
      </c>
      <c r="C43" s="59">
        <v>50</v>
      </c>
      <c r="D43" s="129"/>
      <c r="E43" s="129"/>
      <c r="F43" s="129"/>
    </row>
    <row r="44" spans="1:6">
      <c r="A44" s="128"/>
      <c r="B44" s="22" t="s">
        <v>29</v>
      </c>
      <c r="C44" s="140">
        <v>0</v>
      </c>
      <c r="D44" s="129"/>
      <c r="E44" s="129"/>
      <c r="F44" s="129"/>
    </row>
    <row r="45" spans="1:6">
      <c r="A45" s="128"/>
      <c r="B45" s="138" t="s">
        <v>136</v>
      </c>
      <c r="C45" s="141">
        <v>300</v>
      </c>
      <c r="D45" s="129"/>
      <c r="E45" s="129"/>
      <c r="F45" s="129"/>
    </row>
    <row r="46" spans="1:6">
      <c r="A46" s="128"/>
      <c r="B46" s="33" t="s">
        <v>118</v>
      </c>
      <c r="C46" s="59">
        <f>SUM(C42:C45)</f>
        <v>25350</v>
      </c>
      <c r="D46" s="129"/>
      <c r="E46" s="130"/>
      <c r="F46" s="76"/>
    </row>
    <row r="47" spans="1:6">
      <c r="A47" s="128"/>
      <c r="B47" s="173"/>
      <c r="C47" s="174"/>
      <c r="D47" s="174"/>
      <c r="E47" s="175"/>
      <c r="F47" s="76"/>
    </row>
    <row r="48" spans="1:6" ht="54.75" customHeight="1">
      <c r="A48" s="128"/>
      <c r="B48" s="176" t="s">
        <v>135</v>
      </c>
      <c r="C48" s="177"/>
      <c r="D48" s="177"/>
      <c r="E48" s="178"/>
      <c r="F48" s="76"/>
    </row>
    <row r="49" spans="1:6" ht="75" customHeight="1">
      <c r="A49" s="57" t="s">
        <v>140</v>
      </c>
      <c r="B49" s="57"/>
      <c r="C49" s="131"/>
      <c r="D49" s="57"/>
      <c r="E49" s="129"/>
      <c r="F49" s="129"/>
    </row>
    <row r="50" spans="1:6">
      <c r="A50" s="126"/>
      <c r="B50" s="126"/>
      <c r="C50" s="131"/>
      <c r="D50" s="127"/>
      <c r="E50" s="127"/>
      <c r="F50" s="127"/>
    </row>
    <row r="51" spans="1:6">
      <c r="A51" s="132"/>
      <c r="B51" s="132"/>
      <c r="C51" s="131"/>
      <c r="D51" s="131"/>
      <c r="E51" s="131"/>
      <c r="F51" s="131"/>
    </row>
    <row r="52" spans="1:6">
      <c r="A52" s="132"/>
      <c r="B52" s="132"/>
      <c r="C52" s="131"/>
      <c r="D52" s="131"/>
      <c r="E52" s="131"/>
      <c r="F52" s="131"/>
    </row>
    <row r="53" spans="1:6">
      <c r="A53" s="132"/>
      <c r="B53" s="132"/>
      <c r="C53" s="131"/>
      <c r="D53" s="131"/>
      <c r="E53" s="131"/>
      <c r="F53" s="131"/>
    </row>
    <row r="54" spans="1:6">
      <c r="A54" s="132"/>
      <c r="B54" s="132"/>
      <c r="C54" s="131"/>
      <c r="D54" s="131"/>
      <c r="E54" s="131"/>
      <c r="F54" s="131"/>
    </row>
    <row r="55" spans="1:6">
      <c r="A55" s="132"/>
      <c r="B55" s="132"/>
      <c r="C55" s="131"/>
      <c r="D55" s="131"/>
      <c r="E55" s="131"/>
      <c r="F55" s="131"/>
    </row>
    <row r="56" spans="1:6" s="75" customFormat="1">
      <c r="A56" s="132"/>
      <c r="B56" s="132"/>
      <c r="C56" s="131"/>
      <c r="D56" s="131"/>
      <c r="E56" s="131"/>
      <c r="F56" s="131"/>
    </row>
    <row r="57" spans="1:6" s="75" customFormat="1">
      <c r="A57" s="132"/>
      <c r="B57" s="132"/>
      <c r="C57" s="131"/>
      <c r="D57" s="131"/>
      <c r="E57" s="131"/>
      <c r="F57" s="131"/>
    </row>
    <row r="58" spans="1:6" s="75" customFormat="1">
      <c r="A58" s="132"/>
      <c r="B58" s="132"/>
      <c r="C58" s="131"/>
      <c r="D58" s="131"/>
      <c r="E58" s="131"/>
      <c r="F58" s="131"/>
    </row>
    <row r="59" spans="1:6" s="75" customFormat="1">
      <c r="A59" s="132"/>
      <c r="B59" s="132"/>
      <c r="C59" s="131"/>
      <c r="D59" s="131"/>
      <c r="E59" s="131"/>
      <c r="F59" s="131"/>
    </row>
    <row r="60" spans="1:6" s="75" customFormat="1">
      <c r="A60" s="132"/>
      <c r="B60" s="132"/>
      <c r="C60" s="131"/>
      <c r="D60" s="131"/>
      <c r="E60" s="131"/>
      <c r="F60" s="131"/>
    </row>
    <row r="61" spans="1:6" s="75" customFormat="1">
      <c r="A61" s="132"/>
      <c r="B61" s="132"/>
      <c r="C61" s="131"/>
      <c r="D61" s="131"/>
      <c r="E61" s="131"/>
      <c r="F61" s="131"/>
    </row>
    <row r="62" spans="1:6" s="75" customFormat="1">
      <c r="A62" s="72"/>
      <c r="B62" s="72"/>
      <c r="C62" s="131"/>
      <c r="D62" s="131"/>
      <c r="E62" s="131"/>
      <c r="F62" s="131"/>
    </row>
    <row r="63" spans="1:6" s="75" customFormat="1">
      <c r="A63" s="72"/>
      <c r="B63" s="72"/>
      <c r="C63" s="131"/>
      <c r="D63" s="131"/>
      <c r="E63" s="131"/>
      <c r="F63" s="131"/>
    </row>
    <row r="64" spans="1:6" s="75" customFormat="1">
      <c r="A64" s="72"/>
      <c r="B64" s="72"/>
      <c r="C64" s="131"/>
      <c r="D64" s="131"/>
      <c r="E64" s="131"/>
      <c r="F64" s="131"/>
    </row>
    <row r="65" spans="1:6" s="75" customFormat="1">
      <c r="A65" s="72"/>
      <c r="B65" s="72"/>
      <c r="C65" s="131"/>
      <c r="D65" s="131"/>
      <c r="E65" s="131"/>
      <c r="F65" s="131"/>
    </row>
    <row r="66" spans="1:6" s="75" customFormat="1">
      <c r="A66" s="72"/>
      <c r="B66" s="72"/>
      <c r="C66" s="131"/>
      <c r="D66" s="131"/>
      <c r="E66" s="131"/>
      <c r="F66" s="131"/>
    </row>
    <row r="67" spans="1:6" s="75" customFormat="1">
      <c r="A67" s="72"/>
      <c r="B67" s="72"/>
      <c r="C67" s="131"/>
      <c r="D67" s="131"/>
      <c r="E67" s="131"/>
      <c r="F67" s="131"/>
    </row>
    <row r="68" spans="1:6" s="75" customFormat="1">
      <c r="A68" s="72"/>
      <c r="B68" s="72"/>
      <c r="C68" s="131"/>
      <c r="D68" s="131"/>
      <c r="E68" s="131"/>
      <c r="F68" s="131"/>
    </row>
    <row r="69" spans="1:6" s="75" customFormat="1">
      <c r="A69" s="72"/>
      <c r="B69" s="72"/>
      <c r="C69" s="131"/>
      <c r="D69" s="131"/>
      <c r="E69" s="131"/>
      <c r="F69" s="131"/>
    </row>
    <row r="70" spans="1:6" s="75" customFormat="1">
      <c r="A70" s="72"/>
      <c r="B70" s="72"/>
      <c r="C70" s="131"/>
      <c r="D70" s="131"/>
      <c r="E70" s="131"/>
      <c r="F70" s="131"/>
    </row>
    <row r="71" spans="1:6" s="75" customFormat="1">
      <c r="A71" s="72"/>
      <c r="B71" s="72"/>
      <c r="C71" s="131"/>
      <c r="D71" s="131"/>
      <c r="E71" s="131"/>
      <c r="F71" s="131"/>
    </row>
    <row r="72" spans="1:6" s="75" customFormat="1">
      <c r="A72" s="72"/>
      <c r="B72" s="72"/>
      <c r="C72" s="131"/>
      <c r="D72" s="131"/>
      <c r="E72" s="131"/>
      <c r="F72" s="131"/>
    </row>
    <row r="73" spans="1:6" s="75" customFormat="1">
      <c r="A73" s="72"/>
      <c r="B73" s="72"/>
      <c r="C73" s="131"/>
      <c r="D73" s="131"/>
      <c r="E73" s="131"/>
      <c r="F73" s="131"/>
    </row>
    <row r="74" spans="1:6" s="75" customFormat="1">
      <c r="A74" s="72"/>
      <c r="B74" s="7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72"/>
      <c r="D93" s="131"/>
      <c r="E93" s="131"/>
      <c r="F93" s="131"/>
    </row>
    <row r="94" spans="1:6" s="75" customFormat="1">
      <c r="A94" s="72"/>
      <c r="B94" s="72"/>
      <c r="C94" s="72"/>
      <c r="D94" s="131"/>
      <c r="E94" s="131"/>
      <c r="F94" s="131"/>
    </row>
    <row r="95" spans="1:6" s="75" customFormat="1">
      <c r="A95" s="72"/>
      <c r="B95" s="72"/>
      <c r="C95" s="72"/>
      <c r="D95" s="131"/>
      <c r="E95" s="131"/>
      <c r="F95" s="131"/>
    </row>
    <row r="96" spans="1:6" s="75" customFormat="1">
      <c r="A96" s="72"/>
      <c r="B96" s="72"/>
      <c r="C96" s="72"/>
      <c r="D96" s="131"/>
      <c r="E96" s="131"/>
      <c r="F96" s="131"/>
    </row>
    <row r="97" spans="1:6" s="75" customFormat="1">
      <c r="A97" s="72"/>
      <c r="B97" s="72"/>
      <c r="C97" s="72"/>
      <c r="D97" s="131"/>
      <c r="E97" s="131"/>
      <c r="F97" s="131"/>
    </row>
  </sheetData>
  <mergeCells count="19">
    <mergeCell ref="E1:F1"/>
    <mergeCell ref="A2:F2"/>
    <mergeCell ref="C4:E4"/>
    <mergeCell ref="C5:E5"/>
    <mergeCell ref="C6:E6"/>
    <mergeCell ref="F32:F33"/>
    <mergeCell ref="B47:E47"/>
    <mergeCell ref="B48:E48"/>
    <mergeCell ref="A13:F13"/>
    <mergeCell ref="A15:A16"/>
    <mergeCell ref="B15:B16"/>
    <mergeCell ref="C15:C16"/>
    <mergeCell ref="D15:E15"/>
    <mergeCell ref="F15:F16"/>
    <mergeCell ref="A32:A33"/>
    <mergeCell ref="B32:B33"/>
    <mergeCell ref="C32:C33"/>
    <mergeCell ref="D32:D33"/>
    <mergeCell ref="E32:E33"/>
  </mergeCells>
  <pageMargins left="0.7" right="0.7" top="0.75" bottom="0.75" header="0.3" footer="0.3"/>
  <pageSetup paperSize="9" scale="56" orientation="portrait" r:id="rId1"/>
  <ignoredErrors>
    <ignoredError sqref="E23:E26" unlockedFormula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I27" sqref="I27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3" t="s">
        <v>41</v>
      </c>
      <c r="F1" s="193"/>
      <c r="G1" s="193"/>
    </row>
    <row r="2" spans="1:7" ht="35.25" customHeight="1">
      <c r="A2" s="194" t="s">
        <v>109</v>
      </c>
      <c r="B2" s="194"/>
      <c r="C2" s="194"/>
      <c r="D2" s="194"/>
      <c r="E2" s="194"/>
      <c r="F2" s="194"/>
      <c r="G2" s="194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5" t="s">
        <v>110</v>
      </c>
      <c r="D4" s="181"/>
      <c r="E4" s="181"/>
      <c r="F4" s="74"/>
    </row>
    <row r="5" spans="1:7" ht="19.5">
      <c r="B5" s="73" t="s">
        <v>1</v>
      </c>
      <c r="C5" s="196">
        <v>6</v>
      </c>
      <c r="D5" s="197"/>
      <c r="E5" s="197"/>
      <c r="F5" s="77"/>
    </row>
    <row r="6" spans="1:7" ht="19.5">
      <c r="B6" s="78" t="s">
        <v>2</v>
      </c>
      <c r="C6" s="196">
        <v>11183.8</v>
      </c>
      <c r="D6" s="197"/>
      <c r="E6" s="197"/>
      <c r="F6" s="77"/>
    </row>
    <row r="7" spans="1:7" ht="19.5">
      <c r="B7" s="78" t="s">
        <v>89</v>
      </c>
      <c r="C7" s="79">
        <v>1260</v>
      </c>
      <c r="D7" s="80"/>
      <c r="E7" s="81"/>
      <c r="F7" s="77"/>
    </row>
    <row r="8" spans="1:7" ht="39">
      <c r="B8" s="98" t="s">
        <v>96</v>
      </c>
      <c r="C8" s="190"/>
      <c r="D8" s="191"/>
      <c r="E8" s="192"/>
      <c r="F8" s="83"/>
    </row>
    <row r="9" spans="1:7" ht="19.5">
      <c r="B9" s="108" t="s">
        <v>91</v>
      </c>
      <c r="C9" s="105">
        <v>640304.4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1140747.5999999999</v>
      </c>
      <c r="D12" s="66">
        <f>C12/12</f>
        <v>95062.299999999988</v>
      </c>
      <c r="E12" s="46"/>
    </row>
    <row r="13" spans="1:7">
      <c r="A13" s="179"/>
      <c r="B13" s="180"/>
      <c r="C13" s="180"/>
      <c r="D13" s="180"/>
      <c r="E13" s="181"/>
      <c r="F13" s="181"/>
      <c r="G13" s="181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2" t="s">
        <v>4</v>
      </c>
      <c r="B15" s="154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>
      <c r="A16" s="183"/>
      <c r="B16" s="155"/>
      <c r="C16" s="185"/>
      <c r="D16" s="116" t="s">
        <v>6</v>
      </c>
      <c r="E16" s="116" t="s">
        <v>42</v>
      </c>
      <c r="F16" s="185"/>
      <c r="G16" s="189"/>
    </row>
    <row r="17" spans="1:7">
      <c r="A17" s="117" t="s">
        <v>7</v>
      </c>
      <c r="B17" s="13" t="s">
        <v>31</v>
      </c>
      <c r="C17" s="15">
        <f>D17*C6</f>
        <v>51892.831999999995</v>
      </c>
      <c r="D17" s="15">
        <v>4.6399999999999997</v>
      </c>
      <c r="E17" s="15">
        <f>C17*12</f>
        <v>622713.98399999994</v>
      </c>
      <c r="F17" s="15">
        <f>C17*12</f>
        <v>622713.98399999994</v>
      </c>
      <c r="G17" s="40"/>
    </row>
    <row r="18" spans="1:7">
      <c r="A18" s="100" t="s">
        <v>10</v>
      </c>
      <c r="B18" s="18" t="s">
        <v>11</v>
      </c>
      <c r="C18" s="15">
        <f>0.47*C6</f>
        <v>5256.3859999999995</v>
      </c>
      <c r="D18" s="15">
        <v>0.47</v>
      </c>
      <c r="E18" s="15">
        <f>C18*12</f>
        <v>63076.631999999998</v>
      </c>
      <c r="F18" s="15">
        <f t="shared" ref="F18:F27" si="0">C18*12</f>
        <v>63076.631999999998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0.12071031313149377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9.9250701908117113E-3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246.75</v>
      </c>
      <c r="D21" s="15">
        <f>E21/C6</f>
        <v>0.26475795346840969</v>
      </c>
      <c r="E21" s="15">
        <f>C7*2.35</f>
        <v>2961</v>
      </c>
      <c r="F21" s="15">
        <f t="shared" si="0"/>
        <v>2961</v>
      </c>
      <c r="G21" s="3"/>
    </row>
    <row r="22" spans="1:7">
      <c r="A22" s="118" t="s">
        <v>45</v>
      </c>
      <c r="B22" s="1" t="s">
        <v>85</v>
      </c>
      <c r="C22" s="15">
        <f>E22/12</f>
        <v>170.1</v>
      </c>
      <c r="D22" s="15">
        <f>E22/C6</f>
        <v>0.18251399345481858</v>
      </c>
      <c r="E22" s="15">
        <f>C7*1.62</f>
        <v>2041.2</v>
      </c>
      <c r="F22" s="15">
        <f t="shared" si="0"/>
        <v>2041.1999999999998</v>
      </c>
      <c r="G22" s="3"/>
    </row>
    <row r="23" spans="1:7" s="119" customFormat="1">
      <c r="A23" s="118"/>
      <c r="B23" s="1" t="s">
        <v>37</v>
      </c>
      <c r="C23" s="15">
        <f>C12*12%/12</f>
        <v>11407.475999999997</v>
      </c>
      <c r="D23" s="15">
        <f>C23/C6</f>
        <v>1.0199999999999998</v>
      </c>
      <c r="E23" s="3">
        <f>C12*12%</f>
        <v>136889.71199999997</v>
      </c>
      <c r="F23" s="15">
        <f t="shared" si="0"/>
        <v>136889.71199999997</v>
      </c>
      <c r="G23" s="3"/>
    </row>
    <row r="24" spans="1:7" ht="37.5">
      <c r="A24" s="118"/>
      <c r="B24" s="1" t="s">
        <v>83</v>
      </c>
      <c r="C24" s="15">
        <f>C12*0.9%/12</f>
        <v>855.5607</v>
      </c>
      <c r="D24" s="15">
        <f>C24/C6</f>
        <v>7.6499999999999999E-2</v>
      </c>
      <c r="E24" s="3">
        <f>C12*0.9%</f>
        <v>10266.7284</v>
      </c>
      <c r="F24" s="15">
        <f t="shared" si="0"/>
        <v>10266.7284</v>
      </c>
      <c r="G24" s="3"/>
    </row>
    <row r="25" spans="1:7" s="119" customFormat="1">
      <c r="A25" s="118"/>
      <c r="B25" s="1" t="s">
        <v>84</v>
      </c>
      <c r="C25" s="15">
        <f>C12*2.5%/12</f>
        <v>2376.5574999999999</v>
      </c>
      <c r="D25" s="15">
        <f>C25/C6</f>
        <v>0.21249999999999999</v>
      </c>
      <c r="E25" s="3">
        <f>C25*12</f>
        <v>28518.69</v>
      </c>
      <c r="F25" s="15">
        <f t="shared" si="0"/>
        <v>28518.69</v>
      </c>
      <c r="G25" s="3"/>
    </row>
    <row r="26" spans="1:7" s="121" customFormat="1">
      <c r="A26" s="120"/>
      <c r="B26" s="48" t="s">
        <v>108</v>
      </c>
      <c r="C26" s="49">
        <f>E26/12</f>
        <v>533.5870000000001</v>
      </c>
      <c r="D26" s="49">
        <f>E26/C6/12</f>
        <v>4.7710706557699538E-2</v>
      </c>
      <c r="E26" s="50">
        <f>C9*1%</f>
        <v>6403.0440000000008</v>
      </c>
      <c r="F26" s="15">
        <f t="shared" si="0"/>
        <v>6403.0440000000017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0.33553890448684703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77952.849199999997</v>
      </c>
      <c r="D28" s="14">
        <f>SUM(D17:D27)</f>
        <v>7.38015694129008</v>
      </c>
      <c r="E28" s="14">
        <f>SUM(E17:E27)</f>
        <v>935434.19039999973</v>
      </c>
      <c r="F28" s="14">
        <f>SUM(F17:F27)</f>
        <v>935434.19039999973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12524.100800000002</v>
      </c>
      <c r="D31" s="91">
        <f>C31/C6</f>
        <v>1.11984305870992</v>
      </c>
      <c r="E31" s="91">
        <f>C31*12</f>
        <v>150289.20960000003</v>
      </c>
      <c r="F31" s="91">
        <f>E31</f>
        <v>150289.20960000003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4"/>
      <c r="C48" s="171"/>
      <c r="D48" s="146"/>
      <c r="E48" s="147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2" t="s">
        <v>34</v>
      </c>
      <c r="C50" s="172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3"/>
      <c r="C60" s="174"/>
      <c r="D60" s="174"/>
      <c r="E60" s="175"/>
      <c r="F60" s="76"/>
      <c r="G60" s="76"/>
    </row>
    <row r="61" spans="1:7" ht="64.5" customHeight="1">
      <c r="A61" s="128"/>
      <c r="B61" s="176" t="s">
        <v>95</v>
      </c>
      <c r="C61" s="177"/>
      <c r="D61" s="177"/>
      <c r="E61" s="178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="75" zoomScaleNormal="75" workbookViewId="0">
      <selection activeCell="D22" sqref="D22"/>
    </sheetView>
  </sheetViews>
  <sheetFormatPr defaultColWidth="8.85546875" defaultRowHeight="1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65" t="s">
        <v>41</v>
      </c>
      <c r="F1" s="165"/>
      <c r="G1" s="165"/>
    </row>
    <row r="2" spans="1:7" ht="50.25" customHeight="1">
      <c r="A2" s="194" t="s">
        <v>100</v>
      </c>
      <c r="B2" s="194"/>
      <c r="C2" s="194"/>
      <c r="D2" s="194"/>
      <c r="E2" s="194"/>
      <c r="F2" s="194"/>
      <c r="G2" s="194"/>
    </row>
    <row r="3" spans="1:7" ht="15.75">
      <c r="B3" s="7"/>
      <c r="C3" s="8"/>
      <c r="D3" s="8"/>
      <c r="E3" s="8"/>
      <c r="F3" s="8"/>
    </row>
    <row r="4" spans="1:7" s="76" customFormat="1" ht="19.5">
      <c r="A4" s="72"/>
      <c r="B4" s="73" t="s">
        <v>0</v>
      </c>
      <c r="C4" s="195" t="s">
        <v>101</v>
      </c>
      <c r="D4" s="181"/>
      <c r="E4" s="181"/>
      <c r="F4" s="74"/>
      <c r="G4" s="75"/>
    </row>
    <row r="5" spans="1:7" s="76" customFormat="1" ht="19.5">
      <c r="A5" s="72"/>
      <c r="B5" s="73" t="s">
        <v>1</v>
      </c>
      <c r="C5" s="196">
        <v>4</v>
      </c>
      <c r="D5" s="197"/>
      <c r="E5" s="197"/>
      <c r="F5" s="77"/>
      <c r="G5" s="75"/>
    </row>
    <row r="6" spans="1:7" s="76" customFormat="1" ht="19.5">
      <c r="A6" s="72"/>
      <c r="B6" s="78" t="s">
        <v>2</v>
      </c>
      <c r="C6" s="206">
        <v>2256.3000000000002</v>
      </c>
      <c r="D6" s="207"/>
      <c r="E6" s="207"/>
      <c r="F6" s="77"/>
      <c r="G6" s="75"/>
    </row>
    <row r="7" spans="1:7" s="76" customFormat="1" ht="19.5">
      <c r="A7" s="72"/>
      <c r="B7" s="78" t="s">
        <v>89</v>
      </c>
      <c r="C7" s="79">
        <v>426.6</v>
      </c>
      <c r="D7" s="80"/>
      <c r="E7" s="81"/>
      <c r="F7" s="77"/>
      <c r="G7" s="75"/>
    </row>
    <row r="8" spans="1:7" s="76" customFormat="1" ht="45.75" customHeight="1">
      <c r="A8" s="72"/>
      <c r="B8" s="98" t="s">
        <v>96</v>
      </c>
      <c r="C8" s="190"/>
      <c r="D8" s="191"/>
      <c r="E8" s="192"/>
      <c r="F8" s="83"/>
      <c r="G8" s="75"/>
    </row>
    <row r="9" spans="1:7" s="76" customFormat="1" ht="18.75" customHeight="1">
      <c r="A9" s="72"/>
      <c r="B9" s="82" t="s">
        <v>91</v>
      </c>
      <c r="C9" s="84">
        <v>124524.79</v>
      </c>
      <c r="D9" s="85"/>
      <c r="E9" s="86"/>
      <c r="F9" s="83"/>
      <c r="G9" s="75"/>
    </row>
    <row r="10" spans="1:7" s="76" customFormat="1" ht="18.75">
      <c r="A10" s="72"/>
      <c r="B10" s="87" t="s">
        <v>87</v>
      </c>
      <c r="C10" s="88">
        <v>8.5</v>
      </c>
      <c r="D10" s="66"/>
      <c r="E10" s="46"/>
      <c r="F10" s="72"/>
      <c r="G10" s="75"/>
    </row>
    <row r="11" spans="1:7" s="76" customFormat="1" ht="18.75">
      <c r="A11" s="72"/>
      <c r="B11" s="87" t="s">
        <v>93</v>
      </c>
      <c r="C11" s="88">
        <f>12*D48</f>
        <v>6000</v>
      </c>
      <c r="D11" s="66"/>
      <c r="E11" s="46"/>
      <c r="F11" s="72"/>
      <c r="G11" s="75"/>
    </row>
    <row r="12" spans="1:7" s="76" customFormat="1" ht="18.75">
      <c r="A12" s="72"/>
      <c r="B12" s="87" t="s">
        <v>88</v>
      </c>
      <c r="C12" s="89">
        <f>C6*C10*12</f>
        <v>230142.60000000003</v>
      </c>
      <c r="D12" s="66"/>
      <c r="E12" s="46"/>
      <c r="F12" s="72"/>
      <c r="G12" s="75"/>
    </row>
    <row r="13" spans="1:7">
      <c r="A13" s="204"/>
      <c r="B13" s="205"/>
      <c r="C13" s="205"/>
      <c r="D13" s="205"/>
      <c r="E13" s="168"/>
      <c r="F13" s="168"/>
      <c r="G13" s="168"/>
    </row>
    <row r="14" spans="1:7">
      <c r="A14" s="69"/>
      <c r="B14" s="70"/>
      <c r="C14" s="70"/>
      <c r="D14" s="63"/>
      <c r="E14" s="64"/>
      <c r="F14" s="71"/>
      <c r="G14" s="71"/>
    </row>
    <row r="15" spans="1:7" ht="65.25" customHeight="1">
      <c r="A15" s="152" t="s">
        <v>4</v>
      </c>
      <c r="B15" s="154" t="s">
        <v>5</v>
      </c>
      <c r="C15" s="156" t="s">
        <v>32</v>
      </c>
      <c r="D15" s="158" t="s">
        <v>43</v>
      </c>
      <c r="E15" s="159"/>
      <c r="F15" s="156" t="s">
        <v>80</v>
      </c>
      <c r="G15" s="160" t="s">
        <v>52</v>
      </c>
    </row>
    <row r="16" spans="1:7" ht="45" customHeight="1">
      <c r="A16" s="153"/>
      <c r="B16" s="155"/>
      <c r="C16" s="157"/>
      <c r="D16" s="37" t="s">
        <v>6</v>
      </c>
      <c r="E16" s="45" t="s">
        <v>42</v>
      </c>
      <c r="F16" s="157"/>
      <c r="G16" s="161"/>
    </row>
    <row r="17" spans="1:7" ht="27" customHeight="1">
      <c r="A17" s="12" t="s">
        <v>7</v>
      </c>
      <c r="B17" s="13" t="s">
        <v>31</v>
      </c>
      <c r="C17" s="15">
        <f>D17*C6</f>
        <v>10469.232</v>
      </c>
      <c r="D17" s="15">
        <v>4.6399999999999997</v>
      </c>
      <c r="E17" s="15">
        <f>C17*12</f>
        <v>125630.784</v>
      </c>
      <c r="F17" s="15">
        <f>C17*12</f>
        <v>125630.784</v>
      </c>
      <c r="G17" s="40"/>
    </row>
    <row r="18" spans="1:7" ht="18.75">
      <c r="A18" s="17" t="s">
        <v>10</v>
      </c>
      <c r="B18" s="18" t="s">
        <v>11</v>
      </c>
      <c r="C18" s="15">
        <f>0.47*C6</f>
        <v>1060.461</v>
      </c>
      <c r="D18" s="15">
        <v>0.47</v>
      </c>
      <c r="E18" s="15">
        <f>C18*12</f>
        <v>12725.531999999999</v>
      </c>
      <c r="F18" s="15">
        <f t="shared" ref="F18:F25" si="0">C18*12</f>
        <v>12725.531999999999</v>
      </c>
      <c r="G18" s="3"/>
    </row>
    <row r="19" spans="1:7" ht="19.899999999999999" customHeight="1">
      <c r="A19" s="17" t="s">
        <v>12</v>
      </c>
      <c r="B19" s="18" t="s">
        <v>33</v>
      </c>
      <c r="C19" s="15">
        <v>1350</v>
      </c>
      <c r="D19" s="15">
        <f>C19/C6</f>
        <v>0.59832469086557638</v>
      </c>
      <c r="E19" s="15">
        <f>C19*12</f>
        <v>16200</v>
      </c>
      <c r="F19" s="15">
        <f t="shared" si="0"/>
        <v>16200</v>
      </c>
      <c r="G19" s="3"/>
    </row>
    <row r="20" spans="1:7" ht="18.75">
      <c r="A20" s="2" t="s">
        <v>14</v>
      </c>
      <c r="B20" s="1" t="s">
        <v>38</v>
      </c>
      <c r="C20" s="15">
        <f t="shared" ref="C20" si="1">E20/12</f>
        <v>83.542500000000004</v>
      </c>
      <c r="D20" s="15">
        <f>C20/C6</f>
        <v>3.7026326286398084E-2</v>
      </c>
      <c r="E20" s="15">
        <f>C7*2.35</f>
        <v>1002.5100000000001</v>
      </c>
      <c r="F20" s="15">
        <f t="shared" si="0"/>
        <v>1002.51</v>
      </c>
      <c r="G20" s="3"/>
    </row>
    <row r="21" spans="1:7" ht="16.5" customHeight="1">
      <c r="A21" s="2" t="s">
        <v>45</v>
      </c>
      <c r="B21" s="1" t="s">
        <v>85</v>
      </c>
      <c r="C21" s="15">
        <f>E21/12</f>
        <v>57.591000000000008</v>
      </c>
      <c r="D21" s="15">
        <f>C21/C6</f>
        <v>2.5524531312325491E-2</v>
      </c>
      <c r="E21" s="15">
        <f>C7*1.62</f>
        <v>691.0920000000001</v>
      </c>
      <c r="F21" s="15">
        <f t="shared" si="0"/>
        <v>691.0920000000001</v>
      </c>
      <c r="G21" s="3"/>
    </row>
    <row r="22" spans="1:7" s="52" customFormat="1" ht="18.75">
      <c r="A22" s="2"/>
      <c r="B22" s="1" t="s">
        <v>37</v>
      </c>
      <c r="C22" s="15">
        <f>C12*12%/12</f>
        <v>2301.4260000000004</v>
      </c>
      <c r="D22" s="15">
        <f>C22/C6</f>
        <v>1.02</v>
      </c>
      <c r="E22" s="3">
        <f>C12*12%</f>
        <v>27617.112000000005</v>
      </c>
      <c r="F22" s="15">
        <f t="shared" si="0"/>
        <v>27617.112000000005</v>
      </c>
      <c r="G22" s="3"/>
    </row>
    <row r="23" spans="1:7" ht="37.5">
      <c r="A23" s="2"/>
      <c r="B23" s="1" t="s">
        <v>83</v>
      </c>
      <c r="C23" s="15">
        <f>C12*0.9%/12</f>
        <v>172.60695000000007</v>
      </c>
      <c r="D23" s="15">
        <f>C23/C6</f>
        <v>7.6500000000000026E-2</v>
      </c>
      <c r="E23" s="3">
        <f>C12*0.9%</f>
        <v>2071.2834000000007</v>
      </c>
      <c r="F23" s="15">
        <f t="shared" si="0"/>
        <v>2071.2834000000007</v>
      </c>
      <c r="G23" s="3"/>
    </row>
    <row r="24" spans="1:7" s="52" customFormat="1" ht="21" customHeight="1">
      <c r="A24" s="2"/>
      <c r="B24" s="1" t="s">
        <v>84</v>
      </c>
      <c r="C24" s="15">
        <f>C12*2.5%/12</f>
        <v>479.46375000000012</v>
      </c>
      <c r="D24" s="15">
        <f>C24/C6</f>
        <v>0.21250000000000002</v>
      </c>
      <c r="E24" s="3">
        <f>C24*12</f>
        <v>5753.5650000000014</v>
      </c>
      <c r="F24" s="15">
        <f t="shared" si="0"/>
        <v>5753.5650000000014</v>
      </c>
      <c r="G24" s="3"/>
    </row>
    <row r="25" spans="1:7" s="51" customFormat="1" ht="20.25" customHeight="1">
      <c r="A25" s="47"/>
      <c r="B25" s="48" t="s">
        <v>99</v>
      </c>
      <c r="C25" s="49">
        <f>E25/12</f>
        <v>103.77065833333334</v>
      </c>
      <c r="D25" s="49">
        <f>E25/C6/12</f>
        <v>4.5991516346821491E-2</v>
      </c>
      <c r="E25" s="50">
        <f>C9*1%</f>
        <v>1245.2479000000001</v>
      </c>
      <c r="F25" s="15">
        <f t="shared" si="0"/>
        <v>1245.2479000000001</v>
      </c>
      <c r="G25" s="50"/>
    </row>
    <row r="26" spans="1:7" s="68" customFormat="1" ht="18.75">
      <c r="A26" s="65"/>
      <c r="B26" s="66" t="s">
        <v>92</v>
      </c>
      <c r="C26" s="14">
        <f>SUM(C17:C25)</f>
        <v>16078.093858333332</v>
      </c>
      <c r="D26" s="14">
        <f>SUM(D17:D25)</f>
        <v>7.1258670648111213</v>
      </c>
      <c r="E26" s="14">
        <f>SUM(E17:E25)</f>
        <v>192937.1263</v>
      </c>
      <c r="F26" s="14">
        <f>SUM(F17:F25)</f>
        <v>192937.1263</v>
      </c>
      <c r="G26" s="67"/>
    </row>
    <row r="27" spans="1:7" s="52" customFormat="1" ht="19.5" customHeight="1">
      <c r="A27" s="2"/>
      <c r="B27" s="1"/>
      <c r="C27" s="15"/>
      <c r="D27" s="15"/>
      <c r="E27" s="3"/>
      <c r="F27" s="3"/>
      <c r="G27" s="3"/>
    </row>
    <row r="28" spans="1:7" s="52" customFormat="1" ht="19.5" customHeight="1">
      <c r="A28" s="2"/>
      <c r="B28" s="1"/>
      <c r="C28" s="15"/>
      <c r="D28" s="15"/>
      <c r="E28" s="3"/>
      <c r="F28" s="3"/>
      <c r="G28" s="3"/>
    </row>
    <row r="29" spans="1:7" ht="37.5">
      <c r="A29" s="2"/>
      <c r="B29" s="90" t="s">
        <v>94</v>
      </c>
      <c r="C29" s="91">
        <f>E29/12</f>
        <v>3100.4561416666693</v>
      </c>
      <c r="D29" s="91">
        <f>C29/C6</f>
        <v>1.3741329351888796</v>
      </c>
      <c r="E29" s="91">
        <f>F29</f>
        <v>37205.473700000031</v>
      </c>
      <c r="F29" s="91">
        <f>C12-F26</f>
        <v>37205.473700000031</v>
      </c>
      <c r="G29" s="3"/>
    </row>
    <row r="30" spans="1:7" ht="18.75">
      <c r="A30" s="2"/>
      <c r="B30" s="1"/>
      <c r="C30" s="15"/>
      <c r="D30" s="15"/>
      <c r="E30" s="3"/>
      <c r="F30" s="3"/>
      <c r="G30" s="3"/>
    </row>
    <row r="31" spans="1:7" ht="18.75">
      <c r="A31" s="2" t="s">
        <v>4</v>
      </c>
      <c r="B31" s="1" t="s">
        <v>104</v>
      </c>
      <c r="C31" s="15"/>
      <c r="D31" s="15">
        <f>E31/C6/12</f>
        <v>2.1052165048973981</v>
      </c>
      <c r="E31" s="3">
        <f>F31</f>
        <v>57000</v>
      </c>
      <c r="F31" s="3">
        <v>57000</v>
      </c>
      <c r="G31" s="3"/>
    </row>
    <row r="32" spans="1:7" ht="18.75">
      <c r="A32" s="2" t="s">
        <v>8</v>
      </c>
      <c r="B32" s="1" t="s">
        <v>102</v>
      </c>
      <c r="C32" s="15"/>
      <c r="D32" s="15">
        <f>E32/C7/12</f>
        <v>0</v>
      </c>
      <c r="E32" s="3"/>
      <c r="F32" s="3"/>
      <c r="G32" s="3"/>
    </row>
    <row r="33" spans="1:7" ht="18.75">
      <c r="A33" s="2" t="s">
        <v>97</v>
      </c>
      <c r="B33" s="1" t="s">
        <v>103</v>
      </c>
      <c r="C33" s="15"/>
      <c r="D33" s="15">
        <f>E33/C6/12</f>
        <v>0</v>
      </c>
      <c r="E33" s="3"/>
      <c r="F33" s="3"/>
      <c r="G33" s="3"/>
    </row>
    <row r="34" spans="1:7" ht="18.75">
      <c r="A34" s="2" t="s">
        <v>98</v>
      </c>
      <c r="B34" s="1"/>
      <c r="C34" s="15"/>
      <c r="D34" s="15">
        <f>E34/C9/12</f>
        <v>0</v>
      </c>
      <c r="E34" s="3"/>
      <c r="F34" s="3"/>
      <c r="G34" s="3"/>
    </row>
    <row r="35" spans="1:7" ht="19.5" customHeight="1">
      <c r="A35" s="2"/>
      <c r="B35" s="1"/>
      <c r="C35" s="15"/>
      <c r="D35" s="15">
        <f>E35/C10/12</f>
        <v>0</v>
      </c>
      <c r="E35" s="3"/>
      <c r="F35" s="3"/>
      <c r="G35" s="3"/>
    </row>
    <row r="36" spans="1:7" ht="18.75">
      <c r="A36" s="2"/>
      <c r="B36" s="1"/>
      <c r="C36" s="15"/>
      <c r="D36" s="15">
        <f>E36/C11/12</f>
        <v>0</v>
      </c>
      <c r="E36" s="3"/>
      <c r="F36" s="3"/>
      <c r="G36" s="3"/>
    </row>
    <row r="37" spans="1:7" ht="18.75">
      <c r="A37" s="2"/>
      <c r="B37" s="1"/>
      <c r="C37" s="15"/>
      <c r="D37" s="15">
        <f>E37/C12/12</f>
        <v>0</v>
      </c>
      <c r="E37" s="3"/>
      <c r="F37" s="3"/>
      <c r="G37" s="3"/>
    </row>
    <row r="38" spans="1:7" ht="18.75">
      <c r="A38" s="2"/>
      <c r="B38" s="1"/>
      <c r="C38" s="15"/>
      <c r="D38" s="15">
        <f>E38/C6/12</f>
        <v>0</v>
      </c>
      <c r="E38" s="3"/>
      <c r="F38" s="3"/>
      <c r="G38" s="3"/>
    </row>
    <row r="39" spans="1:7" ht="18.75">
      <c r="A39" s="2"/>
      <c r="B39" s="1"/>
      <c r="C39" s="15"/>
      <c r="D39" s="15">
        <f>E39/C6/12</f>
        <v>0</v>
      </c>
      <c r="E39" s="3"/>
      <c r="F39" s="3"/>
      <c r="G39" s="3"/>
    </row>
    <row r="40" spans="1:7" ht="18.75">
      <c r="A40" s="17"/>
      <c r="B40" s="18"/>
      <c r="C40" s="14"/>
      <c r="D40" s="15">
        <f>E40/C6/12</f>
        <v>0</v>
      </c>
      <c r="E40" s="14"/>
      <c r="F40" s="14"/>
      <c r="G40" s="14"/>
    </row>
    <row r="41" spans="1:7" ht="18.75">
      <c r="A41" s="2"/>
      <c r="B41" s="1"/>
      <c r="C41" s="15"/>
      <c r="D41" s="15">
        <f>E41/C6/12</f>
        <v>0</v>
      </c>
      <c r="E41" s="3"/>
      <c r="F41" s="3"/>
      <c r="G41" s="3"/>
    </row>
    <row r="42" spans="1:7" ht="18.75">
      <c r="A42" s="11"/>
      <c r="B42" s="19"/>
      <c r="C42" s="14"/>
      <c r="D42" s="15">
        <f>E42/C17/12</f>
        <v>0</v>
      </c>
      <c r="E42" s="62"/>
      <c r="F42" s="20"/>
      <c r="G42" s="20"/>
    </row>
    <row r="43" spans="1:7" ht="18.75">
      <c r="A43" s="21"/>
      <c r="B43" s="22"/>
      <c r="C43" s="14"/>
      <c r="D43" s="15">
        <f>E43/C18/12</f>
        <v>0</v>
      </c>
      <c r="E43" s="62"/>
      <c r="F43" s="14"/>
      <c r="G43" s="14"/>
    </row>
    <row r="44" spans="1:7" ht="18.75">
      <c r="A44" s="21"/>
      <c r="B44" s="22"/>
      <c r="C44" s="23"/>
      <c r="D44" s="15">
        <f>E44/C19/12</f>
        <v>0</v>
      </c>
      <c r="E44" s="23"/>
      <c r="F44" s="23"/>
      <c r="G44" s="36"/>
    </row>
    <row r="45" spans="1:7" ht="18.75">
      <c r="A45" s="17"/>
      <c r="B45" s="22"/>
      <c r="C45" s="14"/>
      <c r="D45" s="15" t="e">
        <f>E45/#REF!/12</f>
        <v>#REF!</v>
      </c>
      <c r="E45" s="14"/>
      <c r="F45" s="14"/>
      <c r="G45" s="14"/>
    </row>
    <row r="46" spans="1:7" ht="18.75">
      <c r="A46" s="17"/>
      <c r="B46" s="144"/>
      <c r="C46" s="145"/>
      <c r="D46" s="146"/>
      <c r="E46" s="147"/>
      <c r="F46" s="55"/>
      <c r="G46" s="14"/>
    </row>
    <row r="47" spans="1:7">
      <c r="A47" s="24"/>
      <c r="B47" s="24"/>
      <c r="C47" s="25"/>
      <c r="D47" s="25"/>
      <c r="E47" s="25"/>
      <c r="F47" s="25"/>
    </row>
    <row r="48" spans="1:7" ht="20.25">
      <c r="A48" s="24"/>
      <c r="B48" s="148" t="s">
        <v>34</v>
      </c>
      <c r="C48" s="148"/>
      <c r="D48" s="26">
        <v>500</v>
      </c>
    </row>
    <row r="49" spans="1:7">
      <c r="A49" s="24"/>
      <c r="B49" s="24"/>
      <c r="C49" s="25"/>
      <c r="D49" s="25"/>
      <c r="E49" s="25"/>
      <c r="F49" s="25"/>
    </row>
    <row r="50" spans="1:7" ht="18.75">
      <c r="A50" s="27"/>
      <c r="B50" s="22" t="s">
        <v>28</v>
      </c>
      <c r="C50" s="99"/>
      <c r="D50" s="30"/>
      <c r="E50" s="30"/>
      <c r="F50" s="30"/>
      <c r="G50" s="31"/>
    </row>
    <row r="51" spans="1:7">
      <c r="A51" s="27"/>
      <c r="B51" s="30"/>
      <c r="C51" s="30"/>
      <c r="D51" s="30"/>
      <c r="E51" s="31"/>
      <c r="F51" s="6"/>
      <c r="G51" s="6"/>
    </row>
    <row r="52" spans="1:7">
      <c r="A52" s="27"/>
      <c r="B52" s="198"/>
      <c r="C52" s="199"/>
      <c r="D52" s="199"/>
      <c r="E52" s="200"/>
      <c r="F52" s="6"/>
      <c r="G52" s="6"/>
    </row>
    <row r="53" spans="1:7" ht="52.5" customHeight="1">
      <c r="A53" s="27"/>
      <c r="B53" s="201" t="s">
        <v>95</v>
      </c>
      <c r="C53" s="202"/>
      <c r="D53" s="202"/>
      <c r="E53" s="203"/>
      <c r="F53" s="6"/>
      <c r="G53" s="6"/>
    </row>
    <row r="54" spans="1:7" ht="48.75" customHeight="1">
      <c r="A54" s="57" t="s">
        <v>39</v>
      </c>
      <c r="B54" s="57"/>
      <c r="C54" s="35"/>
      <c r="D54" s="57"/>
      <c r="E54" s="30"/>
      <c r="F54" s="30"/>
      <c r="G54" s="31"/>
    </row>
    <row r="55" spans="1:7">
      <c r="A55" s="24"/>
      <c r="B55" s="24"/>
      <c r="C55" s="35"/>
      <c r="D55" s="25"/>
      <c r="E55" s="25"/>
      <c r="F55" s="25"/>
    </row>
    <row r="56" spans="1:7">
      <c r="A56" s="34"/>
      <c r="B56" s="34"/>
      <c r="C56" s="35"/>
      <c r="D56" s="35"/>
      <c r="E56" s="35"/>
      <c r="F56" s="35"/>
    </row>
    <row r="57" spans="1:7">
      <c r="A57" s="34"/>
      <c r="B57" s="34"/>
      <c r="C57" s="35"/>
      <c r="D57" s="35"/>
      <c r="E57" s="35"/>
      <c r="F57" s="35"/>
    </row>
    <row r="58" spans="1:7">
      <c r="A58" s="34"/>
      <c r="B58" s="34"/>
      <c r="C58" s="35"/>
      <c r="D58" s="35"/>
      <c r="E58" s="35"/>
      <c r="F58" s="35"/>
    </row>
    <row r="59" spans="1:7">
      <c r="A59" s="34"/>
      <c r="B59" s="34"/>
      <c r="C59" s="35"/>
      <c r="D59" s="35"/>
      <c r="E59" s="35"/>
      <c r="F59" s="35"/>
    </row>
    <row r="60" spans="1:7">
      <c r="A60" s="34"/>
      <c r="B60" s="34"/>
      <c r="C60" s="35"/>
      <c r="D60" s="35"/>
      <c r="E60" s="35"/>
      <c r="F60" s="35"/>
    </row>
    <row r="61" spans="1:7" s="5" customFormat="1">
      <c r="A61" s="34"/>
      <c r="B61" s="34"/>
      <c r="C61" s="35"/>
      <c r="D61" s="35"/>
      <c r="E61" s="35"/>
      <c r="F61" s="35"/>
    </row>
    <row r="62" spans="1:7" s="5" customFormat="1">
      <c r="A62" s="34"/>
      <c r="B62" s="34"/>
      <c r="C62" s="35"/>
      <c r="D62" s="35"/>
      <c r="E62" s="35"/>
      <c r="F62" s="35"/>
    </row>
    <row r="63" spans="1:7" s="5" customFormat="1">
      <c r="A63" s="34"/>
      <c r="B63" s="34"/>
      <c r="C63" s="35"/>
      <c r="D63" s="35"/>
      <c r="E63" s="35"/>
      <c r="F63" s="35"/>
    </row>
    <row r="64" spans="1:7" s="5" customFormat="1">
      <c r="A64" s="34"/>
      <c r="B64" s="34"/>
      <c r="C64" s="35"/>
      <c r="D64" s="35"/>
      <c r="E64" s="35"/>
      <c r="F64" s="35"/>
    </row>
    <row r="65" spans="1:6" s="5" customFormat="1">
      <c r="A65" s="34"/>
      <c r="B65" s="34"/>
      <c r="C65" s="35"/>
      <c r="D65" s="35"/>
      <c r="E65" s="35"/>
      <c r="F65" s="35"/>
    </row>
    <row r="66" spans="1:6" s="5" customFormat="1">
      <c r="A66" s="34"/>
      <c r="B66" s="34"/>
      <c r="C66" s="35"/>
      <c r="D66" s="35"/>
      <c r="E66" s="35"/>
      <c r="F66" s="35"/>
    </row>
    <row r="67" spans="1:6" s="5" customFormat="1">
      <c r="A67" s="4"/>
      <c r="B67" s="4"/>
      <c r="C67" s="35"/>
      <c r="D67" s="35"/>
      <c r="E67" s="35"/>
      <c r="F67" s="35"/>
    </row>
    <row r="68" spans="1:6" s="5" customFormat="1">
      <c r="A68" s="4"/>
      <c r="B68" s="4"/>
      <c r="C68" s="35"/>
      <c r="D68" s="35"/>
      <c r="E68" s="35"/>
      <c r="F68" s="35"/>
    </row>
    <row r="69" spans="1:6" s="5" customFormat="1">
      <c r="A69" s="4"/>
      <c r="B69" s="4"/>
      <c r="C69" s="35"/>
      <c r="D69" s="35"/>
      <c r="E69" s="35"/>
      <c r="F69" s="35"/>
    </row>
    <row r="70" spans="1:6" s="5" customFormat="1">
      <c r="A70" s="4"/>
      <c r="B70" s="4"/>
      <c r="C70" s="35"/>
      <c r="D70" s="35"/>
      <c r="E70" s="35"/>
      <c r="F70" s="35"/>
    </row>
    <row r="71" spans="1:6" s="5" customFormat="1">
      <c r="A71" s="4"/>
      <c r="B71" s="4"/>
      <c r="C71" s="35"/>
      <c r="D71" s="35"/>
      <c r="E71" s="35"/>
      <c r="F71" s="35"/>
    </row>
    <row r="72" spans="1:6" s="5" customFormat="1">
      <c r="A72" s="4"/>
      <c r="B72" s="4"/>
      <c r="C72" s="35"/>
      <c r="D72" s="35"/>
      <c r="E72" s="35"/>
      <c r="F72" s="35"/>
    </row>
    <row r="73" spans="1:6" s="5" customFormat="1">
      <c r="A73" s="4"/>
      <c r="B73" s="4"/>
      <c r="C73" s="35"/>
      <c r="D73" s="35"/>
      <c r="E73" s="35"/>
      <c r="F73" s="35"/>
    </row>
    <row r="74" spans="1:6" s="5" customFormat="1">
      <c r="A74" s="4"/>
      <c r="B74" s="4"/>
      <c r="C74" s="35"/>
      <c r="D74" s="35"/>
      <c r="E74" s="35"/>
      <c r="F74" s="35"/>
    </row>
    <row r="75" spans="1:6" s="5" customFormat="1">
      <c r="A75" s="4"/>
      <c r="B75" s="4"/>
      <c r="C75" s="35"/>
      <c r="D75" s="35"/>
      <c r="E75" s="35"/>
      <c r="F75" s="35"/>
    </row>
    <row r="76" spans="1:6" s="5" customFormat="1">
      <c r="A76" s="4"/>
      <c r="B76" s="4"/>
      <c r="C76" s="35"/>
      <c r="D76" s="35"/>
      <c r="E76" s="35"/>
      <c r="F76" s="35"/>
    </row>
    <row r="77" spans="1:6" s="5" customFormat="1">
      <c r="A77" s="4"/>
      <c r="B77" s="4"/>
      <c r="C77" s="35"/>
      <c r="D77" s="35"/>
      <c r="E77" s="35"/>
      <c r="F77" s="35"/>
    </row>
    <row r="78" spans="1:6" s="5" customFormat="1">
      <c r="A78" s="4"/>
      <c r="B78" s="4"/>
      <c r="C78" s="35"/>
      <c r="D78" s="35"/>
      <c r="E78" s="35"/>
      <c r="F78" s="35"/>
    </row>
    <row r="79" spans="1:6" s="5" customFormat="1">
      <c r="A79" s="4"/>
      <c r="B79" s="4"/>
      <c r="C79" s="35"/>
      <c r="D79" s="35"/>
      <c r="E79" s="35"/>
      <c r="F79" s="35"/>
    </row>
    <row r="80" spans="1:6" s="5" customFormat="1">
      <c r="A80" s="4"/>
      <c r="B80" s="4"/>
      <c r="C80" s="35"/>
      <c r="D80" s="35"/>
      <c r="E80" s="35"/>
      <c r="F80" s="35"/>
    </row>
    <row r="81" spans="1:6" s="5" customFormat="1">
      <c r="A81" s="4"/>
      <c r="B81" s="4"/>
      <c r="C81" s="35"/>
      <c r="D81" s="35"/>
      <c r="E81" s="35"/>
      <c r="F81" s="35"/>
    </row>
    <row r="82" spans="1:6" s="5" customFormat="1">
      <c r="A82" s="4"/>
      <c r="B82" s="4"/>
      <c r="C82" s="35"/>
      <c r="D82" s="35"/>
      <c r="E82" s="35"/>
      <c r="F82" s="35"/>
    </row>
    <row r="83" spans="1:6" s="5" customFormat="1">
      <c r="A83" s="4"/>
      <c r="B83" s="4"/>
      <c r="C83" s="35"/>
      <c r="D83" s="35"/>
      <c r="E83" s="35"/>
      <c r="F83" s="35"/>
    </row>
    <row r="84" spans="1:6" s="5" customFormat="1">
      <c r="A84" s="4"/>
      <c r="B84" s="4"/>
      <c r="C84" s="35"/>
      <c r="D84" s="35"/>
      <c r="E84" s="35"/>
      <c r="F84" s="35"/>
    </row>
    <row r="85" spans="1:6" s="5" customFormat="1">
      <c r="A85" s="4"/>
      <c r="B85" s="4"/>
      <c r="C85" s="35"/>
      <c r="D85" s="35"/>
      <c r="E85" s="35"/>
      <c r="F85" s="35"/>
    </row>
    <row r="86" spans="1:6" s="5" customFormat="1">
      <c r="A86" s="4"/>
      <c r="B86" s="4"/>
      <c r="C86" s="35"/>
      <c r="D86" s="35"/>
      <c r="E86" s="35"/>
      <c r="F86" s="35"/>
    </row>
    <row r="87" spans="1:6" s="5" customFormat="1">
      <c r="A87" s="4"/>
      <c r="B87" s="4"/>
      <c r="C87" s="35"/>
      <c r="D87" s="35"/>
      <c r="E87" s="35"/>
      <c r="F87" s="35"/>
    </row>
    <row r="88" spans="1:6" s="5" customFormat="1">
      <c r="A88" s="4"/>
      <c r="B88" s="4"/>
      <c r="C88" s="35"/>
      <c r="D88" s="35"/>
      <c r="E88" s="35"/>
      <c r="F88" s="35"/>
    </row>
    <row r="89" spans="1:6" s="5" customFormat="1">
      <c r="A89" s="4"/>
      <c r="B89" s="4"/>
      <c r="C89" s="35"/>
      <c r="D89" s="35"/>
      <c r="E89" s="35"/>
      <c r="F89" s="35"/>
    </row>
    <row r="90" spans="1:6" s="5" customFormat="1">
      <c r="A90" s="4"/>
      <c r="B90" s="4"/>
      <c r="C90" s="35"/>
      <c r="D90" s="35"/>
      <c r="E90" s="35"/>
      <c r="F90" s="35"/>
    </row>
    <row r="91" spans="1:6" s="5" customFormat="1">
      <c r="A91" s="4"/>
      <c r="B91" s="4"/>
      <c r="C91" s="35"/>
      <c r="D91" s="35"/>
      <c r="E91" s="35"/>
      <c r="F91" s="35"/>
    </row>
    <row r="92" spans="1:6" s="5" customFormat="1">
      <c r="A92" s="4"/>
      <c r="B92" s="4"/>
      <c r="C92" s="35"/>
      <c r="D92" s="35"/>
      <c r="E92" s="35"/>
      <c r="F92" s="35"/>
    </row>
    <row r="93" spans="1:6" s="5" customFormat="1">
      <c r="A93" s="4"/>
      <c r="B93" s="4"/>
      <c r="C93" s="35"/>
      <c r="D93" s="35"/>
      <c r="E93" s="35"/>
      <c r="F93" s="35"/>
    </row>
    <row r="94" spans="1:6" s="5" customFormat="1">
      <c r="A94" s="4"/>
      <c r="B94" s="4"/>
      <c r="C94" s="35"/>
      <c r="D94" s="35"/>
      <c r="E94" s="35"/>
      <c r="F94" s="35"/>
    </row>
    <row r="95" spans="1:6" s="5" customFormat="1">
      <c r="A95" s="4"/>
      <c r="B95" s="4"/>
      <c r="C95" s="35"/>
      <c r="D95" s="35"/>
      <c r="E95" s="35"/>
      <c r="F95" s="35"/>
    </row>
    <row r="96" spans="1:6" s="5" customFormat="1">
      <c r="A96" s="4"/>
      <c r="B96" s="4"/>
      <c r="C96" s="35"/>
      <c r="D96" s="35"/>
      <c r="E96" s="35"/>
      <c r="F96" s="35"/>
    </row>
    <row r="97" spans="1:6" s="5" customFormat="1">
      <c r="A97" s="4"/>
      <c r="B97" s="4"/>
      <c r="C97" s="35"/>
      <c r="D97" s="35"/>
      <c r="E97" s="35"/>
      <c r="F97" s="35"/>
    </row>
    <row r="98" spans="1:6" s="5" customFormat="1">
      <c r="A98" s="4"/>
      <c r="B98" s="4"/>
      <c r="C98" s="4"/>
      <c r="D98" s="35"/>
      <c r="E98" s="35"/>
      <c r="F98" s="35"/>
    </row>
    <row r="99" spans="1:6" s="5" customFormat="1">
      <c r="A99" s="4"/>
      <c r="B99" s="4"/>
      <c r="C99" s="4"/>
      <c r="D99" s="35"/>
      <c r="E99" s="35"/>
      <c r="F99" s="35"/>
    </row>
    <row r="100" spans="1:6" s="5" customFormat="1">
      <c r="A100" s="4"/>
      <c r="B100" s="4"/>
      <c r="C100" s="4"/>
      <c r="D100" s="35"/>
      <c r="E100" s="35"/>
      <c r="F100" s="35"/>
    </row>
    <row r="101" spans="1:6" s="5" customFormat="1">
      <c r="A101" s="4"/>
      <c r="B101" s="4"/>
      <c r="C101" s="4"/>
      <c r="D101" s="35"/>
      <c r="E101" s="35"/>
      <c r="F101" s="35"/>
    </row>
    <row r="102" spans="1:6" s="5" customFormat="1">
      <c r="A102" s="4"/>
      <c r="B102" s="4"/>
      <c r="C102" s="4"/>
      <c r="D102" s="35"/>
      <c r="E102" s="35"/>
      <c r="F102" s="35"/>
    </row>
  </sheetData>
  <mergeCells count="18">
    <mergeCell ref="E1:G1"/>
    <mergeCell ref="A2:G2"/>
    <mergeCell ref="C4:E4"/>
    <mergeCell ref="C5:E5"/>
    <mergeCell ref="C6:E6"/>
    <mergeCell ref="F15:F16"/>
    <mergeCell ref="G15:G16"/>
    <mergeCell ref="C8:E8"/>
    <mergeCell ref="B52:E52"/>
    <mergeCell ref="B53:E53"/>
    <mergeCell ref="B46:C46"/>
    <mergeCell ref="D46:E46"/>
    <mergeCell ref="B48:C48"/>
    <mergeCell ref="A13:G13"/>
    <mergeCell ref="A15:A16"/>
    <mergeCell ref="B15:B16"/>
    <mergeCell ref="C15:C16"/>
    <mergeCell ref="D15:E15"/>
  </mergeCells>
  <pageMargins left="0.7" right="0.7" top="0.75" bottom="0.75" header="0.3" footer="0.3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0"/>
  <sheetViews>
    <sheetView zoomScale="75" zoomScaleNormal="75" workbookViewId="0">
      <selection activeCell="D23" sqref="D23"/>
    </sheetView>
  </sheetViews>
  <sheetFormatPr defaultColWidth="8.85546875" defaultRowHeight="1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65" t="s">
        <v>41</v>
      </c>
      <c r="F1" s="165"/>
      <c r="G1" s="165"/>
    </row>
    <row r="2" spans="1:7" ht="50.25" customHeight="1">
      <c r="A2" s="194" t="s">
        <v>105</v>
      </c>
      <c r="B2" s="194"/>
      <c r="C2" s="194"/>
      <c r="D2" s="194"/>
      <c r="E2" s="194"/>
      <c r="F2" s="194"/>
      <c r="G2" s="194"/>
    </row>
    <row r="3" spans="1:7" ht="15.75">
      <c r="B3" s="7"/>
      <c r="C3" s="8"/>
      <c r="D3" s="8"/>
      <c r="E3" s="8"/>
      <c r="F3" s="8"/>
    </row>
    <row r="4" spans="1:7" s="76" customFormat="1" ht="19.5">
      <c r="A4" s="72"/>
      <c r="B4" s="73" t="s">
        <v>0</v>
      </c>
      <c r="C4" s="195" t="s">
        <v>107</v>
      </c>
      <c r="D4" s="181"/>
      <c r="E4" s="181"/>
      <c r="F4" s="74"/>
      <c r="G4" s="75"/>
    </row>
    <row r="5" spans="1:7" s="76" customFormat="1" ht="19.5">
      <c r="A5" s="72"/>
      <c r="B5" s="73" t="s">
        <v>1</v>
      </c>
      <c r="C5" s="196">
        <v>4</v>
      </c>
      <c r="D5" s="197"/>
      <c r="E5" s="197"/>
      <c r="F5" s="77"/>
      <c r="G5" s="75"/>
    </row>
    <row r="6" spans="1:7" s="76" customFormat="1" ht="19.5">
      <c r="A6" s="72"/>
      <c r="B6" s="78" t="s">
        <v>2</v>
      </c>
      <c r="C6" s="196">
        <v>7165.3</v>
      </c>
      <c r="D6" s="197"/>
      <c r="E6" s="197"/>
      <c r="F6" s="77"/>
      <c r="G6" s="75"/>
    </row>
    <row r="7" spans="1:7" s="76" customFormat="1" ht="19.5">
      <c r="A7" s="72"/>
      <c r="B7" s="78" t="s">
        <v>89</v>
      </c>
      <c r="C7" s="79">
        <v>840</v>
      </c>
      <c r="D7" s="80"/>
      <c r="E7" s="81"/>
      <c r="F7" s="77"/>
      <c r="G7" s="75"/>
    </row>
    <row r="8" spans="1:7" s="76" customFormat="1" ht="45.75" customHeight="1">
      <c r="A8" s="72"/>
      <c r="B8" s="98" t="s">
        <v>96</v>
      </c>
      <c r="C8" s="190"/>
      <c r="D8" s="191"/>
      <c r="E8" s="192"/>
      <c r="F8" s="83"/>
      <c r="G8" s="75"/>
    </row>
    <row r="9" spans="1:7" s="76" customFormat="1" ht="18.75" customHeight="1">
      <c r="A9" s="72"/>
      <c r="B9" s="82" t="s">
        <v>91</v>
      </c>
      <c r="C9" s="95">
        <v>304200.31</v>
      </c>
      <c r="D9" s="96"/>
      <c r="E9" s="97"/>
      <c r="F9" s="83"/>
      <c r="G9" s="75"/>
    </row>
    <row r="10" spans="1:7" s="76" customFormat="1" ht="18.75">
      <c r="A10" s="72"/>
      <c r="B10" s="87" t="s">
        <v>87</v>
      </c>
      <c r="C10" s="88">
        <v>7.91</v>
      </c>
      <c r="D10" s="66"/>
      <c r="E10" s="46"/>
      <c r="F10" s="72"/>
      <c r="G10" s="75"/>
    </row>
    <row r="11" spans="1:7" s="76" customFormat="1" ht="18.75">
      <c r="A11" s="72"/>
      <c r="B11" s="87" t="s">
        <v>93</v>
      </c>
      <c r="C11" s="88">
        <f>12*D50</f>
        <v>0</v>
      </c>
      <c r="D11" s="66"/>
      <c r="E11" s="46"/>
      <c r="F11" s="72"/>
      <c r="G11" s="75"/>
    </row>
    <row r="12" spans="1:7" s="76" customFormat="1" ht="18.75">
      <c r="A12" s="72"/>
      <c r="B12" s="87" t="s">
        <v>88</v>
      </c>
      <c r="C12" s="89">
        <f>C6*C10*12</f>
        <v>680130.27600000007</v>
      </c>
      <c r="D12" s="66">
        <f>C12/12</f>
        <v>56677.523000000008</v>
      </c>
      <c r="E12" s="46"/>
      <c r="F12" s="72"/>
      <c r="G12" s="75"/>
    </row>
    <row r="13" spans="1:7">
      <c r="A13" s="204"/>
      <c r="B13" s="205"/>
      <c r="C13" s="205"/>
      <c r="D13" s="205"/>
      <c r="E13" s="168"/>
      <c r="F13" s="168"/>
      <c r="G13" s="168"/>
    </row>
    <row r="14" spans="1:7">
      <c r="A14" s="69"/>
      <c r="B14" s="70"/>
      <c r="C14" s="70"/>
      <c r="D14" s="92"/>
      <c r="E14" s="93"/>
      <c r="F14" s="71"/>
      <c r="G14" s="71"/>
    </row>
    <row r="15" spans="1:7" ht="65.25" customHeight="1">
      <c r="A15" s="152" t="s">
        <v>4</v>
      </c>
      <c r="B15" s="154" t="s">
        <v>5</v>
      </c>
      <c r="C15" s="156" t="s">
        <v>32</v>
      </c>
      <c r="D15" s="158" t="s">
        <v>43</v>
      </c>
      <c r="E15" s="159"/>
      <c r="F15" s="156" t="s">
        <v>80</v>
      </c>
      <c r="G15" s="160" t="s">
        <v>52</v>
      </c>
    </row>
    <row r="16" spans="1:7" ht="45" customHeight="1">
      <c r="A16" s="153"/>
      <c r="B16" s="155"/>
      <c r="C16" s="157"/>
      <c r="D16" s="94" t="s">
        <v>6</v>
      </c>
      <c r="E16" s="45" t="s">
        <v>42</v>
      </c>
      <c r="F16" s="157"/>
      <c r="G16" s="161"/>
    </row>
    <row r="17" spans="1:7" ht="27" customHeight="1">
      <c r="A17" s="12" t="s">
        <v>7</v>
      </c>
      <c r="B17" s="13" t="s">
        <v>31</v>
      </c>
      <c r="C17" s="15">
        <f>D17*C6</f>
        <v>33246.991999999998</v>
      </c>
      <c r="D17" s="15">
        <v>4.6399999999999997</v>
      </c>
      <c r="E17" s="15">
        <f>C17*12</f>
        <v>398963.90399999998</v>
      </c>
      <c r="F17" s="15">
        <f>C17*12</f>
        <v>398963.90399999998</v>
      </c>
      <c r="G17" s="40"/>
    </row>
    <row r="18" spans="1:7" ht="18.75">
      <c r="A18" s="17" t="s">
        <v>10</v>
      </c>
      <c r="B18" s="18" t="s">
        <v>11</v>
      </c>
      <c r="C18" s="15">
        <f>0.47*C6</f>
        <v>3367.6909999999998</v>
      </c>
      <c r="D18" s="15">
        <v>0.47</v>
      </c>
      <c r="E18" s="15">
        <f>C18*12</f>
        <v>40412.292000000001</v>
      </c>
      <c r="F18" s="15">
        <f t="shared" ref="F18:F27" si="0">C18*12</f>
        <v>40412.292000000001</v>
      </c>
      <c r="G18" s="3"/>
    </row>
    <row r="19" spans="1:7" ht="19.899999999999999" customHeight="1">
      <c r="A19" s="17" t="s">
        <v>12</v>
      </c>
      <c r="B19" s="18" t="s">
        <v>33</v>
      </c>
      <c r="C19" s="15">
        <v>1350</v>
      </c>
      <c r="D19" s="15">
        <f>C19/C6</f>
        <v>0.18840802199489204</v>
      </c>
      <c r="E19" s="15">
        <f>C19*12</f>
        <v>16200</v>
      </c>
      <c r="F19" s="15">
        <f t="shared" si="0"/>
        <v>16200</v>
      </c>
      <c r="G19" s="3"/>
    </row>
    <row r="20" spans="1:7" ht="19.5" customHeight="1">
      <c r="A20" s="2" t="s">
        <v>13</v>
      </c>
      <c r="B20" s="46" t="s">
        <v>58</v>
      </c>
      <c r="C20" s="15">
        <f t="shared" ref="C20:C21" si="1">E20/12</f>
        <v>111</v>
      </c>
      <c r="D20" s="15">
        <f>C20/C6</f>
        <v>1.5491326252913346E-2</v>
      </c>
      <c r="E20" s="3">
        <v>1332</v>
      </c>
      <c r="F20" s="15">
        <f t="shared" si="0"/>
        <v>1332</v>
      </c>
      <c r="G20" s="3"/>
    </row>
    <row r="21" spans="1:7" ht="18.75">
      <c r="A21" s="2" t="s">
        <v>14</v>
      </c>
      <c r="B21" s="1" t="s">
        <v>38</v>
      </c>
      <c r="C21" s="15">
        <f t="shared" si="1"/>
        <v>164.5</v>
      </c>
      <c r="D21" s="15">
        <f>C21/C6</f>
        <v>2.295786638382203E-2</v>
      </c>
      <c r="E21" s="15">
        <f>C7*2.35</f>
        <v>1974</v>
      </c>
      <c r="F21" s="15">
        <f t="shared" si="0"/>
        <v>1974</v>
      </c>
      <c r="G21" s="3"/>
    </row>
    <row r="22" spans="1:7" ht="16.5" customHeight="1">
      <c r="A22" s="2" t="s">
        <v>45</v>
      </c>
      <c r="B22" s="1" t="s">
        <v>85</v>
      </c>
      <c r="C22" s="15">
        <f>E22/12</f>
        <v>113.40000000000002</v>
      </c>
      <c r="D22" s="15">
        <f>C22/C6</f>
        <v>1.5826273847570935E-2</v>
      </c>
      <c r="E22" s="15">
        <f>C7*1.62</f>
        <v>1360.8000000000002</v>
      </c>
      <c r="F22" s="15">
        <f t="shared" si="0"/>
        <v>1360.8000000000002</v>
      </c>
      <c r="G22" s="3"/>
    </row>
    <row r="23" spans="1:7" s="52" customFormat="1" ht="18.75">
      <c r="A23" s="2"/>
      <c r="B23" s="1" t="s">
        <v>37</v>
      </c>
      <c r="C23" s="15">
        <f>C12*12%/12</f>
        <v>6801.3027599999996</v>
      </c>
      <c r="D23" s="15">
        <f>C23/C6</f>
        <v>0.94919999999999993</v>
      </c>
      <c r="E23" s="3">
        <f>C12*12%</f>
        <v>81615.633119999999</v>
      </c>
      <c r="F23" s="15">
        <f t="shared" si="0"/>
        <v>81615.633119999999</v>
      </c>
      <c r="G23" s="3"/>
    </row>
    <row r="24" spans="1:7" ht="37.5">
      <c r="A24" s="2"/>
      <c r="B24" s="1" t="s">
        <v>83</v>
      </c>
      <c r="C24" s="15">
        <f>C12*0.9%/12</f>
        <v>510.09770700000013</v>
      </c>
      <c r="D24" s="15">
        <f>C24/C6</f>
        <v>7.1190000000000017E-2</v>
      </c>
      <c r="E24" s="3">
        <f>C12*0.9%</f>
        <v>6121.1724840000015</v>
      </c>
      <c r="F24" s="15">
        <f t="shared" si="0"/>
        <v>6121.1724840000015</v>
      </c>
      <c r="G24" s="3"/>
    </row>
    <row r="25" spans="1:7" s="52" customFormat="1" ht="21" customHeight="1">
      <c r="A25" s="2"/>
      <c r="B25" s="1" t="s">
        <v>84</v>
      </c>
      <c r="C25" s="15">
        <f>C12*2.5%/12</f>
        <v>1416.9380750000003</v>
      </c>
      <c r="D25" s="15">
        <f>C25/C6</f>
        <v>0.19775000000000004</v>
      </c>
      <c r="E25" s="3">
        <f>C25*12</f>
        <v>17003.256900000004</v>
      </c>
      <c r="F25" s="15">
        <f t="shared" si="0"/>
        <v>17003.256900000004</v>
      </c>
      <c r="G25" s="3"/>
    </row>
    <row r="26" spans="1:7" s="51" customFormat="1" ht="20.25" customHeight="1">
      <c r="A26" s="47"/>
      <c r="B26" s="48" t="s">
        <v>86</v>
      </c>
      <c r="C26" s="49">
        <f>E26/12</f>
        <v>253.50025833333333</v>
      </c>
      <c r="D26" s="49">
        <f>E26/C6/12</f>
        <v>3.5378875739094429E-2</v>
      </c>
      <c r="E26" s="50">
        <f>C9*1%</f>
        <v>3042.0030999999999</v>
      </c>
      <c r="F26" s="15">
        <f t="shared" si="0"/>
        <v>3042.0030999999999</v>
      </c>
      <c r="G26" s="50"/>
    </row>
    <row r="27" spans="1:7" ht="18.75">
      <c r="A27" s="2"/>
      <c r="B27" s="1" t="s">
        <v>90</v>
      </c>
      <c r="C27" s="15">
        <v>3752.6</v>
      </c>
      <c r="D27" s="15">
        <f>E27/C6/12</f>
        <v>0.52371847654669024</v>
      </c>
      <c r="E27" s="3">
        <f>C27*12</f>
        <v>45031.199999999997</v>
      </c>
      <c r="F27" s="15">
        <f t="shared" si="0"/>
        <v>45031.199999999997</v>
      </c>
      <c r="G27" s="3"/>
    </row>
    <row r="28" spans="1:7" s="68" customFormat="1" ht="18.75">
      <c r="A28" s="65"/>
      <c r="B28" s="66" t="s">
        <v>92</v>
      </c>
      <c r="C28" s="14">
        <f>SUM(C17:C27)</f>
        <v>51088.021800333328</v>
      </c>
      <c r="D28" s="14">
        <f>SUM(D17:D27)</f>
        <v>7.1299208407649832</v>
      </c>
      <c r="E28" s="14">
        <f>SUM(E17:E27)</f>
        <v>613056.26160399988</v>
      </c>
      <c r="F28" s="14">
        <f>SUM(F17:F27)</f>
        <v>613056.26160399988</v>
      </c>
      <c r="G28" s="67"/>
    </row>
    <row r="29" spans="1:7" s="52" customFormat="1" ht="19.5" customHeight="1">
      <c r="A29" s="2"/>
      <c r="B29" s="1"/>
      <c r="C29" s="15"/>
      <c r="D29" s="15"/>
      <c r="E29" s="3"/>
      <c r="F29" s="3"/>
      <c r="G29" s="3"/>
    </row>
    <row r="30" spans="1:7" s="52" customFormat="1" ht="19.5" customHeight="1">
      <c r="A30" s="2"/>
      <c r="B30" s="1"/>
      <c r="C30" s="15"/>
      <c r="D30" s="15"/>
      <c r="E30" s="3"/>
      <c r="F30" s="3"/>
      <c r="G30" s="3"/>
    </row>
    <row r="31" spans="1:7" ht="37.5">
      <c r="A31" s="2"/>
      <c r="B31" s="90" t="s">
        <v>94</v>
      </c>
      <c r="C31" s="91">
        <f>(C10-D28)*C6+D50</f>
        <v>5589.5011996666672</v>
      </c>
      <c r="D31" s="91">
        <f>C31/C6</f>
        <v>0.78007915923501692</v>
      </c>
      <c r="E31" s="91">
        <f>C31*12</f>
        <v>67074.014396000013</v>
      </c>
      <c r="F31" s="91">
        <f>E31</f>
        <v>67074.014396000013</v>
      </c>
      <c r="G31" s="3"/>
    </row>
    <row r="32" spans="1:7" ht="18.75">
      <c r="A32" s="2"/>
      <c r="B32" s="1"/>
      <c r="C32" s="15"/>
      <c r="D32" s="15"/>
      <c r="E32" s="3"/>
      <c r="F32" s="3"/>
      <c r="G32" s="3"/>
    </row>
    <row r="33" spans="1:7" ht="18.75">
      <c r="A33" s="2"/>
      <c r="B33" s="1"/>
      <c r="C33" s="15"/>
      <c r="D33" s="15"/>
      <c r="E33" s="3"/>
      <c r="F33" s="3"/>
      <c r="G33" s="3"/>
    </row>
    <row r="34" spans="1:7" ht="18.75">
      <c r="A34" s="2"/>
      <c r="B34" s="1"/>
      <c r="C34" s="15"/>
      <c r="D34" s="15"/>
      <c r="E34" s="3"/>
      <c r="F34" s="3"/>
      <c r="G34" s="3"/>
    </row>
    <row r="35" spans="1:7" ht="18.75">
      <c r="A35" s="2"/>
      <c r="B35" s="1"/>
      <c r="C35" s="15"/>
      <c r="D35" s="15"/>
      <c r="E35" s="3"/>
      <c r="F35" s="3"/>
      <c r="G35" s="3"/>
    </row>
    <row r="36" spans="1:7" ht="18.75">
      <c r="A36" s="2"/>
      <c r="B36" s="1"/>
      <c r="C36" s="15"/>
      <c r="D36" s="15"/>
      <c r="E36" s="3"/>
      <c r="F36" s="3"/>
      <c r="G36" s="3"/>
    </row>
    <row r="37" spans="1:7" ht="19.5" customHeight="1">
      <c r="A37" s="2"/>
      <c r="B37" s="1"/>
      <c r="C37" s="15"/>
      <c r="D37" s="15"/>
      <c r="E37" s="3"/>
      <c r="F37" s="3"/>
      <c r="G37" s="3"/>
    </row>
    <row r="38" spans="1:7" ht="18.75">
      <c r="A38" s="2"/>
      <c r="B38" s="1"/>
      <c r="C38" s="15"/>
      <c r="D38" s="15"/>
      <c r="E38" s="3"/>
      <c r="F38" s="3"/>
      <c r="G38" s="3"/>
    </row>
    <row r="39" spans="1:7" ht="18.75">
      <c r="A39" s="2"/>
      <c r="B39" s="1"/>
      <c r="C39" s="15"/>
      <c r="D39" s="15"/>
      <c r="E39" s="3"/>
      <c r="F39" s="3"/>
      <c r="G39" s="3"/>
    </row>
    <row r="40" spans="1:7" ht="18.75">
      <c r="A40" s="2"/>
      <c r="B40" s="1"/>
      <c r="C40" s="15"/>
      <c r="D40" s="15"/>
      <c r="E40" s="3"/>
      <c r="F40" s="3"/>
      <c r="G40" s="3"/>
    </row>
    <row r="41" spans="1:7" ht="18.75">
      <c r="A41" s="2"/>
      <c r="B41" s="1"/>
      <c r="C41" s="15"/>
      <c r="D41" s="15"/>
      <c r="E41" s="3"/>
      <c r="F41" s="3"/>
      <c r="G41" s="3"/>
    </row>
    <row r="42" spans="1:7" ht="18.75">
      <c r="A42" s="17"/>
      <c r="B42" s="18"/>
      <c r="C42" s="14"/>
      <c r="D42" s="14"/>
      <c r="E42" s="14"/>
      <c r="F42" s="14"/>
      <c r="G42" s="14"/>
    </row>
    <row r="43" spans="1:7" ht="18.75">
      <c r="A43" s="2"/>
      <c r="B43" s="1"/>
      <c r="C43" s="15"/>
      <c r="D43" s="15"/>
      <c r="E43" s="3"/>
      <c r="F43" s="3"/>
      <c r="G43" s="3"/>
    </row>
    <row r="44" spans="1:7" ht="18.75">
      <c r="A44" s="11"/>
      <c r="B44" s="19"/>
      <c r="C44" s="14"/>
      <c r="D44" s="20"/>
      <c r="E44" s="62"/>
      <c r="F44" s="20"/>
      <c r="G44" s="20"/>
    </row>
    <row r="45" spans="1:7" ht="18.75">
      <c r="A45" s="21"/>
      <c r="B45" s="22"/>
      <c r="C45" s="14"/>
      <c r="D45" s="14"/>
      <c r="E45" s="62"/>
      <c r="F45" s="14"/>
      <c r="G45" s="14"/>
    </row>
    <row r="46" spans="1:7" ht="18.75">
      <c r="A46" s="21"/>
      <c r="B46" s="22"/>
      <c r="C46" s="23"/>
      <c r="D46" s="15"/>
      <c r="E46" s="23"/>
      <c r="F46" s="23"/>
      <c r="G46" s="36"/>
    </row>
    <row r="47" spans="1:7" ht="18.75">
      <c r="A47" s="17"/>
      <c r="B47" s="22"/>
      <c r="C47" s="14"/>
      <c r="D47" s="14"/>
      <c r="E47" s="14"/>
      <c r="F47" s="14"/>
      <c r="G47" s="14"/>
    </row>
    <row r="48" spans="1:7" ht="18.75">
      <c r="A48" s="17"/>
      <c r="B48" s="144"/>
      <c r="C48" s="145"/>
      <c r="D48" s="146"/>
      <c r="E48" s="147"/>
      <c r="F48" s="55"/>
      <c r="G48" s="14"/>
    </row>
    <row r="49" spans="1:7">
      <c r="A49" s="24"/>
      <c r="B49" s="24"/>
      <c r="C49" s="25"/>
      <c r="D49" s="25"/>
      <c r="E49" s="25"/>
      <c r="F49" s="25"/>
    </row>
    <row r="50" spans="1:7" ht="20.25">
      <c r="A50" s="24"/>
      <c r="B50" s="148" t="s">
        <v>34</v>
      </c>
      <c r="C50" s="148"/>
      <c r="D50" s="26">
        <f>C52/100*88</f>
        <v>0</v>
      </c>
    </row>
    <row r="51" spans="1:7">
      <c r="A51" s="24"/>
      <c r="B51" s="24"/>
      <c r="C51" s="25"/>
      <c r="D51" s="25"/>
      <c r="E51" s="25"/>
      <c r="F51" s="25"/>
    </row>
    <row r="52" spans="1:7" ht="18.75">
      <c r="A52" s="27"/>
      <c r="B52" s="22" t="s">
        <v>28</v>
      </c>
      <c r="C52" s="99"/>
      <c r="D52" s="30"/>
      <c r="E52" s="30"/>
      <c r="F52" s="30"/>
      <c r="G52" s="31"/>
    </row>
    <row r="53" spans="1:7" ht="18.75">
      <c r="A53" s="27"/>
      <c r="B53" s="100" t="s">
        <v>51</v>
      </c>
      <c r="C53" s="59"/>
      <c r="D53" s="30"/>
      <c r="E53" s="30"/>
      <c r="F53" s="30"/>
      <c r="G53" s="31"/>
    </row>
    <row r="54" spans="1:7" ht="18.75">
      <c r="A54" s="27"/>
      <c r="B54" s="18" t="s">
        <v>64</v>
      </c>
      <c r="C54" s="59"/>
      <c r="D54" s="30"/>
      <c r="E54" s="30"/>
      <c r="F54" s="30"/>
      <c r="G54" s="31"/>
    </row>
    <row r="55" spans="1:7" ht="18.75">
      <c r="A55" s="27"/>
      <c r="B55" s="22" t="s">
        <v>29</v>
      </c>
      <c r="C55" s="59"/>
      <c r="D55" s="30"/>
      <c r="E55" s="30"/>
      <c r="F55" s="30"/>
      <c r="G55" s="31"/>
    </row>
    <row r="56" spans="1:7" ht="18.75">
      <c r="A56" s="27"/>
      <c r="B56" s="18" t="s">
        <v>30</v>
      </c>
      <c r="C56" s="60"/>
      <c r="D56" s="30"/>
      <c r="E56" s="30"/>
      <c r="F56" s="30"/>
      <c r="G56" s="31"/>
    </row>
    <row r="57" spans="1:7" ht="18.75">
      <c r="A57" s="27"/>
      <c r="B57" s="18" t="s">
        <v>65</v>
      </c>
      <c r="C57" s="59"/>
      <c r="D57" s="30"/>
      <c r="E57" s="30"/>
      <c r="F57" s="30"/>
      <c r="G57" s="31"/>
    </row>
    <row r="58" spans="1:7" ht="18.75">
      <c r="A58" s="27"/>
      <c r="B58" s="18" t="s">
        <v>82</v>
      </c>
      <c r="C58" s="59"/>
      <c r="D58" s="30"/>
      <c r="E58" s="30"/>
      <c r="F58" s="30"/>
      <c r="G58" s="31"/>
    </row>
    <row r="59" spans="1:7">
      <c r="A59" s="27"/>
      <c r="B59" s="30"/>
      <c r="C59" s="30"/>
      <c r="D59" s="30"/>
      <c r="E59" s="31"/>
      <c r="F59" s="6"/>
      <c r="G59" s="6"/>
    </row>
    <row r="60" spans="1:7">
      <c r="A60" s="27"/>
      <c r="B60" s="198"/>
      <c r="C60" s="199"/>
      <c r="D60" s="199"/>
      <c r="E60" s="200"/>
      <c r="F60" s="6"/>
      <c r="G60" s="6"/>
    </row>
    <row r="61" spans="1:7" ht="52.5" customHeight="1">
      <c r="A61" s="27"/>
      <c r="B61" s="201" t="s">
        <v>95</v>
      </c>
      <c r="C61" s="202"/>
      <c r="D61" s="202"/>
      <c r="E61" s="203"/>
      <c r="F61" s="6"/>
      <c r="G61" s="6"/>
    </row>
    <row r="62" spans="1:7" ht="48.75" customHeight="1">
      <c r="A62" s="57" t="s">
        <v>39</v>
      </c>
      <c r="B62" s="57"/>
      <c r="C62" s="35"/>
      <c r="D62" s="57"/>
      <c r="E62" s="30"/>
      <c r="F62" s="30"/>
      <c r="G62" s="31"/>
    </row>
    <row r="63" spans="1:7">
      <c r="A63" s="24"/>
      <c r="B63" s="24"/>
      <c r="C63" s="35"/>
      <c r="D63" s="25"/>
      <c r="E63" s="25"/>
      <c r="F63" s="25"/>
    </row>
    <row r="64" spans="1:7">
      <c r="A64" s="34"/>
      <c r="B64" s="34"/>
      <c r="C64" s="35"/>
      <c r="D64" s="35"/>
      <c r="E64" s="35"/>
      <c r="F64" s="35"/>
    </row>
    <row r="65" spans="1:6">
      <c r="A65" s="34"/>
      <c r="B65" s="34"/>
      <c r="C65" s="35"/>
      <c r="D65" s="35"/>
      <c r="E65" s="35"/>
      <c r="F65" s="35"/>
    </row>
    <row r="66" spans="1:6">
      <c r="A66" s="34"/>
      <c r="B66" s="34"/>
      <c r="C66" s="35"/>
      <c r="D66" s="35"/>
      <c r="E66" s="35"/>
      <c r="F66" s="35"/>
    </row>
    <row r="67" spans="1:6">
      <c r="A67" s="34"/>
      <c r="B67" s="34"/>
      <c r="C67" s="35"/>
      <c r="D67" s="35"/>
      <c r="E67" s="35"/>
      <c r="F67" s="35"/>
    </row>
    <row r="68" spans="1:6">
      <c r="A68" s="34"/>
      <c r="B68" s="34"/>
      <c r="C68" s="35"/>
      <c r="D68" s="35"/>
      <c r="E68" s="35"/>
      <c r="F68" s="35"/>
    </row>
    <row r="69" spans="1:6" s="5" customFormat="1">
      <c r="A69" s="34"/>
      <c r="B69" s="34"/>
      <c r="C69" s="35"/>
      <c r="D69" s="35"/>
      <c r="E69" s="35"/>
      <c r="F69" s="35"/>
    </row>
    <row r="70" spans="1:6" s="5" customFormat="1">
      <c r="A70" s="34"/>
      <c r="B70" s="34"/>
      <c r="C70" s="35"/>
      <c r="D70" s="35"/>
      <c r="E70" s="35"/>
      <c r="F70" s="35"/>
    </row>
    <row r="71" spans="1:6" s="5" customFormat="1">
      <c r="A71" s="34"/>
      <c r="B71" s="34"/>
      <c r="C71" s="35"/>
      <c r="D71" s="35"/>
      <c r="E71" s="35"/>
      <c r="F71" s="35"/>
    </row>
    <row r="72" spans="1:6" s="5" customFormat="1">
      <c r="A72" s="34"/>
      <c r="B72" s="34"/>
      <c r="C72" s="35"/>
      <c r="D72" s="35"/>
      <c r="E72" s="35"/>
      <c r="F72" s="35"/>
    </row>
    <row r="73" spans="1:6" s="5" customFormat="1">
      <c r="A73" s="34"/>
      <c r="B73" s="34"/>
      <c r="C73" s="35"/>
      <c r="D73" s="35"/>
      <c r="E73" s="35"/>
      <c r="F73" s="35"/>
    </row>
    <row r="74" spans="1:6" s="5" customFormat="1">
      <c r="A74" s="34"/>
      <c r="B74" s="34"/>
      <c r="C74" s="35"/>
      <c r="D74" s="35"/>
      <c r="E74" s="35"/>
      <c r="F74" s="35"/>
    </row>
    <row r="75" spans="1:6" s="5" customFormat="1">
      <c r="A75" s="4"/>
      <c r="B75" s="4"/>
      <c r="C75" s="35"/>
      <c r="D75" s="35"/>
      <c r="E75" s="35"/>
      <c r="F75" s="35"/>
    </row>
    <row r="76" spans="1:6" s="5" customFormat="1">
      <c r="A76" s="4"/>
      <c r="B76" s="4"/>
      <c r="C76" s="35"/>
      <c r="D76" s="35"/>
      <c r="E76" s="35"/>
      <c r="F76" s="35"/>
    </row>
    <row r="77" spans="1:6" s="5" customFormat="1">
      <c r="A77" s="4"/>
      <c r="B77" s="4"/>
      <c r="C77" s="35"/>
      <c r="D77" s="35"/>
      <c r="E77" s="35"/>
      <c r="F77" s="35"/>
    </row>
    <row r="78" spans="1:6" s="5" customFormat="1">
      <c r="A78" s="4"/>
      <c r="B78" s="4"/>
      <c r="C78" s="35"/>
      <c r="D78" s="35"/>
      <c r="E78" s="35"/>
      <c r="F78" s="35"/>
    </row>
    <row r="79" spans="1:6" s="5" customFormat="1">
      <c r="A79" s="4"/>
      <c r="B79" s="4"/>
      <c r="C79" s="35"/>
      <c r="D79" s="35"/>
      <c r="E79" s="35"/>
      <c r="F79" s="35"/>
    </row>
    <row r="80" spans="1:6" s="5" customFormat="1">
      <c r="A80" s="4"/>
      <c r="B80" s="4"/>
      <c r="C80" s="35"/>
      <c r="D80" s="35"/>
      <c r="E80" s="35"/>
      <c r="F80" s="35"/>
    </row>
    <row r="81" spans="1:6" s="5" customFormat="1">
      <c r="A81" s="4"/>
      <c r="B81" s="4"/>
      <c r="C81" s="35"/>
      <c r="D81" s="35"/>
      <c r="E81" s="35"/>
      <c r="F81" s="35"/>
    </row>
    <row r="82" spans="1:6" s="5" customFormat="1">
      <c r="A82" s="4"/>
      <c r="B82" s="4"/>
      <c r="C82" s="35"/>
      <c r="D82" s="35"/>
      <c r="E82" s="35"/>
      <c r="F82" s="35"/>
    </row>
    <row r="83" spans="1:6" s="5" customFormat="1">
      <c r="A83" s="4"/>
      <c r="B83" s="4"/>
      <c r="C83" s="35"/>
      <c r="D83" s="35"/>
      <c r="E83" s="35"/>
      <c r="F83" s="35"/>
    </row>
    <row r="84" spans="1:6" s="5" customFormat="1">
      <c r="A84" s="4"/>
      <c r="B84" s="4"/>
      <c r="C84" s="35"/>
      <c r="D84" s="35"/>
      <c r="E84" s="35"/>
      <c r="F84" s="35"/>
    </row>
    <row r="85" spans="1:6" s="5" customFormat="1">
      <c r="A85" s="4"/>
      <c r="B85" s="4"/>
      <c r="C85" s="35"/>
      <c r="D85" s="35"/>
      <c r="E85" s="35"/>
      <c r="F85" s="35"/>
    </row>
    <row r="86" spans="1:6" s="5" customFormat="1">
      <c r="A86" s="4"/>
      <c r="B86" s="4"/>
      <c r="C86" s="35"/>
      <c r="D86" s="35"/>
      <c r="E86" s="35"/>
      <c r="F86" s="35"/>
    </row>
    <row r="87" spans="1:6" s="5" customFormat="1">
      <c r="A87" s="4"/>
      <c r="B87" s="4"/>
      <c r="C87" s="35"/>
      <c r="D87" s="35"/>
      <c r="E87" s="35"/>
      <c r="F87" s="35"/>
    </row>
    <row r="88" spans="1:6" s="5" customFormat="1">
      <c r="A88" s="4"/>
      <c r="B88" s="4"/>
      <c r="C88" s="35"/>
      <c r="D88" s="35"/>
      <c r="E88" s="35"/>
      <c r="F88" s="35"/>
    </row>
    <row r="89" spans="1:6" s="5" customFormat="1">
      <c r="A89" s="4"/>
      <c r="B89" s="4"/>
      <c r="C89" s="35"/>
      <c r="D89" s="35"/>
      <c r="E89" s="35"/>
      <c r="F89" s="35"/>
    </row>
    <row r="90" spans="1:6" s="5" customFormat="1">
      <c r="A90" s="4"/>
      <c r="B90" s="4"/>
      <c r="C90" s="35"/>
      <c r="D90" s="35"/>
      <c r="E90" s="35"/>
      <c r="F90" s="35"/>
    </row>
    <row r="91" spans="1:6" s="5" customFormat="1">
      <c r="A91" s="4"/>
      <c r="B91" s="4"/>
      <c r="C91" s="35"/>
      <c r="D91" s="35"/>
      <c r="E91" s="35"/>
      <c r="F91" s="35"/>
    </row>
    <row r="92" spans="1:6" s="5" customFormat="1">
      <c r="A92" s="4"/>
      <c r="B92" s="4"/>
      <c r="C92" s="35"/>
      <c r="D92" s="35"/>
      <c r="E92" s="35"/>
      <c r="F92" s="35"/>
    </row>
    <row r="93" spans="1:6" s="5" customFormat="1">
      <c r="A93" s="4"/>
      <c r="B93" s="4"/>
      <c r="C93" s="35"/>
      <c r="D93" s="35"/>
      <c r="E93" s="35"/>
      <c r="F93" s="35"/>
    </row>
    <row r="94" spans="1:6" s="5" customFormat="1">
      <c r="A94" s="4"/>
      <c r="B94" s="4"/>
      <c r="C94" s="35"/>
      <c r="D94" s="35"/>
      <c r="E94" s="35"/>
      <c r="F94" s="35"/>
    </row>
    <row r="95" spans="1:6" s="5" customFormat="1">
      <c r="A95" s="4"/>
      <c r="B95" s="4"/>
      <c r="C95" s="35"/>
      <c r="D95" s="35"/>
      <c r="E95" s="35"/>
      <c r="F95" s="35"/>
    </row>
    <row r="96" spans="1:6" s="5" customFormat="1">
      <c r="A96" s="4"/>
      <c r="B96" s="4"/>
      <c r="C96" s="35"/>
      <c r="D96" s="35"/>
      <c r="E96" s="35"/>
      <c r="F96" s="35"/>
    </row>
    <row r="97" spans="1:6" s="5" customFormat="1">
      <c r="A97" s="4"/>
      <c r="B97" s="4"/>
      <c r="C97" s="35"/>
      <c r="D97" s="35"/>
      <c r="E97" s="35"/>
      <c r="F97" s="35"/>
    </row>
    <row r="98" spans="1:6" s="5" customFormat="1">
      <c r="A98" s="4"/>
      <c r="B98" s="4"/>
      <c r="C98" s="35"/>
      <c r="D98" s="35"/>
      <c r="E98" s="35"/>
      <c r="F98" s="35"/>
    </row>
    <row r="99" spans="1:6" s="5" customFormat="1">
      <c r="A99" s="4"/>
      <c r="B99" s="4"/>
      <c r="C99" s="35"/>
      <c r="D99" s="35"/>
      <c r="E99" s="35"/>
      <c r="F99" s="35"/>
    </row>
    <row r="100" spans="1:6" s="5" customFormat="1">
      <c r="A100" s="4"/>
      <c r="B100" s="4"/>
      <c r="C100" s="35"/>
      <c r="D100" s="35"/>
      <c r="E100" s="35"/>
      <c r="F100" s="35"/>
    </row>
    <row r="101" spans="1:6" s="5" customFormat="1">
      <c r="A101" s="4"/>
      <c r="B101" s="4"/>
      <c r="C101" s="35"/>
      <c r="D101" s="35"/>
      <c r="E101" s="35"/>
      <c r="F101" s="35"/>
    </row>
    <row r="102" spans="1:6" s="5" customFormat="1">
      <c r="A102" s="4"/>
      <c r="B102" s="4"/>
      <c r="C102" s="35"/>
      <c r="D102" s="35"/>
      <c r="E102" s="35"/>
      <c r="F102" s="35"/>
    </row>
    <row r="103" spans="1:6" s="5" customFormat="1">
      <c r="A103" s="4"/>
      <c r="B103" s="4"/>
      <c r="C103" s="35"/>
      <c r="D103" s="35"/>
      <c r="E103" s="35"/>
      <c r="F103" s="35"/>
    </row>
    <row r="104" spans="1:6" s="5" customFormat="1">
      <c r="A104" s="4"/>
      <c r="B104" s="4"/>
      <c r="C104" s="35"/>
      <c r="D104" s="35"/>
      <c r="E104" s="35"/>
      <c r="F104" s="35"/>
    </row>
    <row r="105" spans="1:6" s="5" customFormat="1">
      <c r="A105" s="4"/>
      <c r="B105" s="4"/>
      <c r="C105" s="35"/>
      <c r="D105" s="35"/>
      <c r="E105" s="35"/>
      <c r="F105" s="35"/>
    </row>
    <row r="106" spans="1:6" s="5" customFormat="1">
      <c r="A106" s="4"/>
      <c r="B106" s="4"/>
      <c r="C106" s="4"/>
      <c r="D106" s="35"/>
      <c r="E106" s="35"/>
      <c r="F106" s="35"/>
    </row>
    <row r="107" spans="1:6" s="5" customFormat="1">
      <c r="A107" s="4"/>
      <c r="B107" s="4"/>
      <c r="C107" s="4"/>
      <c r="D107" s="35"/>
      <c r="E107" s="35"/>
      <c r="F107" s="35"/>
    </row>
    <row r="108" spans="1:6" s="5" customFormat="1">
      <c r="A108" s="4"/>
      <c r="B108" s="4"/>
      <c r="C108" s="4"/>
      <c r="D108" s="35"/>
      <c r="E108" s="35"/>
      <c r="F108" s="35"/>
    </row>
    <row r="109" spans="1:6" s="5" customFormat="1">
      <c r="A109" s="4"/>
      <c r="B109" s="4"/>
      <c r="C109" s="4"/>
      <c r="D109" s="35"/>
      <c r="E109" s="35"/>
      <c r="F109" s="35"/>
    </row>
    <row r="110" spans="1:6" s="5" customFormat="1">
      <c r="A110" s="4"/>
      <c r="B110" s="4"/>
      <c r="C110" s="4"/>
      <c r="D110" s="35"/>
      <c r="E110" s="35"/>
      <c r="F110" s="35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pageSetup paperSize="9"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0"/>
  <sheetViews>
    <sheetView zoomScale="80" zoomScaleNormal="80" workbookViewId="0">
      <selection activeCell="D23" sqref="D23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3" t="s">
        <v>41</v>
      </c>
      <c r="F1" s="193"/>
      <c r="G1" s="193"/>
    </row>
    <row r="2" spans="1:7" ht="33.75" customHeight="1">
      <c r="A2" s="194" t="s">
        <v>106</v>
      </c>
      <c r="B2" s="194"/>
      <c r="C2" s="194"/>
      <c r="D2" s="194"/>
      <c r="E2" s="194"/>
      <c r="F2" s="194"/>
      <c r="G2" s="194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5" t="s">
        <v>110</v>
      </c>
      <c r="D4" s="181"/>
      <c r="E4" s="181"/>
      <c r="F4" s="74"/>
    </row>
    <row r="5" spans="1:7" ht="19.5">
      <c r="B5" s="73" t="s">
        <v>1</v>
      </c>
      <c r="C5" s="196">
        <v>9</v>
      </c>
      <c r="D5" s="197"/>
      <c r="E5" s="197"/>
      <c r="F5" s="77"/>
    </row>
    <row r="6" spans="1:7" ht="19.5">
      <c r="B6" s="78" t="s">
        <v>2</v>
      </c>
      <c r="C6" s="196">
        <v>18162.099999999999</v>
      </c>
      <c r="D6" s="197"/>
      <c r="E6" s="197"/>
      <c r="F6" s="77"/>
    </row>
    <row r="7" spans="1:7" ht="19.5">
      <c r="B7" s="78" t="s">
        <v>89</v>
      </c>
      <c r="C7" s="79">
        <v>1890</v>
      </c>
      <c r="D7" s="80"/>
      <c r="E7" s="81"/>
      <c r="F7" s="77"/>
    </row>
    <row r="8" spans="1:7" ht="39">
      <c r="B8" s="98" t="s">
        <v>96</v>
      </c>
      <c r="C8" s="190"/>
      <c r="D8" s="191"/>
      <c r="E8" s="192"/>
      <c r="F8" s="83"/>
    </row>
    <row r="9" spans="1:7" ht="19.5">
      <c r="B9" s="104" t="s">
        <v>91</v>
      </c>
      <c r="C9" s="101">
        <v>1276985.93</v>
      </c>
      <c r="D9" s="102"/>
      <c r="E9" s="103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1852534.1999999997</v>
      </c>
      <c r="D12" s="66">
        <f>C12/12</f>
        <v>154377.84999999998</v>
      </c>
      <c r="E12" s="46"/>
    </row>
    <row r="13" spans="1:7">
      <c r="A13" s="179"/>
      <c r="B13" s="180"/>
      <c r="C13" s="180"/>
      <c r="D13" s="180"/>
      <c r="E13" s="181"/>
      <c r="F13" s="181"/>
      <c r="G13" s="181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2" t="s">
        <v>4</v>
      </c>
      <c r="B15" s="154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>
      <c r="A16" s="183"/>
      <c r="B16" s="155"/>
      <c r="C16" s="185"/>
      <c r="D16" s="116" t="s">
        <v>6</v>
      </c>
      <c r="E16" s="116" t="s">
        <v>42</v>
      </c>
      <c r="F16" s="185"/>
      <c r="G16" s="189"/>
    </row>
    <row r="17" spans="1:7">
      <c r="A17" s="117" t="s">
        <v>7</v>
      </c>
      <c r="B17" s="13" t="s">
        <v>31</v>
      </c>
      <c r="C17" s="15">
        <f>D17*C6</f>
        <v>84272.143999999986</v>
      </c>
      <c r="D17" s="15">
        <v>4.6399999999999997</v>
      </c>
      <c r="E17" s="15">
        <f>C17*12</f>
        <v>1011265.7279999999</v>
      </c>
      <c r="F17" s="15">
        <f>C17*12</f>
        <v>1011265.7279999999</v>
      </c>
      <c r="G17" s="40"/>
    </row>
    <row r="18" spans="1:7">
      <c r="A18" s="100" t="s">
        <v>10</v>
      </c>
      <c r="B18" s="18" t="s">
        <v>11</v>
      </c>
      <c r="C18" s="15">
        <f>0.47*C6</f>
        <v>8536.1869999999981</v>
      </c>
      <c r="D18" s="15">
        <v>0.47</v>
      </c>
      <c r="E18" s="15">
        <f>C18*12</f>
        <v>102434.24399999998</v>
      </c>
      <c r="F18" s="15">
        <f t="shared" ref="F18:F27" si="0">C18*12</f>
        <v>102434.24399999998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7.4330611548224054E-2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6.1116280606317557E-3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370.125</v>
      </c>
      <c r="D21" s="15">
        <f>C21/C6</f>
        <v>2.037897599947143E-2</v>
      </c>
      <c r="E21" s="15">
        <f>C7*2.35</f>
        <v>4441.5</v>
      </c>
      <c r="F21" s="15">
        <f t="shared" si="0"/>
        <v>4441.5</v>
      </c>
      <c r="G21" s="3"/>
    </row>
    <row r="22" spans="1:7">
      <c r="A22" s="118" t="s">
        <v>45</v>
      </c>
      <c r="B22" s="1" t="s">
        <v>85</v>
      </c>
      <c r="C22" s="15">
        <f>E22/12</f>
        <v>255.15</v>
      </c>
      <c r="D22" s="15">
        <f>C22/C6</f>
        <v>1.4048485582614347E-2</v>
      </c>
      <c r="E22" s="15">
        <f>C7*1.62</f>
        <v>3061.8</v>
      </c>
      <c r="F22" s="15">
        <f t="shared" si="0"/>
        <v>3061.8</v>
      </c>
      <c r="G22" s="3"/>
    </row>
    <row r="23" spans="1:7" s="119" customFormat="1">
      <c r="A23" s="118"/>
      <c r="B23" s="1" t="s">
        <v>37</v>
      </c>
      <c r="C23" s="15">
        <f>C12*12%/12</f>
        <v>18525.341999999997</v>
      </c>
      <c r="D23" s="15">
        <f>C23/C6</f>
        <v>1.02</v>
      </c>
      <c r="E23" s="3">
        <f>C12*12%</f>
        <v>222304.10399999996</v>
      </c>
      <c r="F23" s="15">
        <f t="shared" si="0"/>
        <v>222304.10399999996</v>
      </c>
      <c r="G23" s="3"/>
    </row>
    <row r="24" spans="1:7" ht="37.5">
      <c r="A24" s="118"/>
      <c r="B24" s="1" t="s">
        <v>83</v>
      </c>
      <c r="C24" s="15">
        <f>C12*0.9%/12</f>
        <v>1389.4006499999998</v>
      </c>
      <c r="D24" s="15">
        <f>C24/C6</f>
        <v>7.6499999999999999E-2</v>
      </c>
      <c r="E24" s="3">
        <f>C12*0.9%</f>
        <v>16672.807799999999</v>
      </c>
      <c r="F24" s="15">
        <f t="shared" si="0"/>
        <v>16672.807799999999</v>
      </c>
      <c r="G24" s="3"/>
    </row>
    <row r="25" spans="1:7" s="119" customFormat="1">
      <c r="A25" s="118"/>
      <c r="B25" s="1" t="s">
        <v>84</v>
      </c>
      <c r="C25" s="15">
        <f>C12*2.5%/12</f>
        <v>3859.4462499999995</v>
      </c>
      <c r="D25" s="15">
        <f>C25/C6</f>
        <v>0.21249999999999999</v>
      </c>
      <c r="E25" s="3">
        <f>C25*12</f>
        <v>46313.354999999996</v>
      </c>
      <c r="F25" s="15">
        <f t="shared" si="0"/>
        <v>46313.354999999996</v>
      </c>
      <c r="G25" s="3"/>
    </row>
    <row r="26" spans="1:7" s="121" customFormat="1">
      <c r="A26" s="120"/>
      <c r="B26" s="48" t="s">
        <v>108</v>
      </c>
      <c r="C26" s="49">
        <f>E26/12</f>
        <v>1064.1549416666667</v>
      </c>
      <c r="D26" s="49">
        <f>E26/C6/12</f>
        <v>5.8592064886035577E-2</v>
      </c>
      <c r="E26" s="50">
        <f>C9*1%</f>
        <v>12769.8593</v>
      </c>
      <c r="F26" s="15">
        <f t="shared" si="0"/>
        <v>12769.8593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0.20661707621915967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123485.54984166664</v>
      </c>
      <c r="D28" s="14">
        <f>SUM(D17:D27)</f>
        <v>6.7990788422961366</v>
      </c>
      <c r="E28" s="14">
        <f>SUM(E17:E27)</f>
        <v>1481826.5980999998</v>
      </c>
      <c r="F28" s="14">
        <f>SUM(F17:F27)</f>
        <v>1481826.5980999998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30892.300158333335</v>
      </c>
      <c r="D31" s="91">
        <f>C31/C6</f>
        <v>1.7009211577038634</v>
      </c>
      <c r="E31" s="91">
        <f>C31*12</f>
        <v>370707.60190000001</v>
      </c>
      <c r="F31" s="91">
        <f>E31</f>
        <v>370707.60190000001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4"/>
      <c r="C48" s="171"/>
      <c r="D48" s="146"/>
      <c r="E48" s="147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2" t="s">
        <v>34</v>
      </c>
      <c r="C50" s="172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3"/>
      <c r="C60" s="174"/>
      <c r="D60" s="174"/>
      <c r="E60" s="175"/>
      <c r="F60" s="76"/>
      <c r="G60" s="76"/>
    </row>
    <row r="61" spans="1:7" ht="54" customHeight="1">
      <c r="A61" s="128"/>
      <c r="B61" s="176" t="s">
        <v>95</v>
      </c>
      <c r="C61" s="177"/>
      <c r="D61" s="177"/>
      <c r="E61" s="178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3" sqref="D23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3" t="s">
        <v>41</v>
      </c>
      <c r="F1" s="193"/>
      <c r="G1" s="193"/>
    </row>
    <row r="2" spans="1:7" ht="36.75" customHeight="1">
      <c r="A2" s="194" t="s">
        <v>111</v>
      </c>
      <c r="B2" s="194"/>
      <c r="C2" s="194"/>
      <c r="D2" s="194"/>
      <c r="E2" s="194"/>
      <c r="F2" s="194"/>
      <c r="G2" s="194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5" t="s">
        <v>110</v>
      </c>
      <c r="D4" s="181"/>
      <c r="E4" s="181"/>
      <c r="F4" s="74"/>
    </row>
    <row r="5" spans="1:7" ht="19.5">
      <c r="B5" s="73" t="s">
        <v>1</v>
      </c>
      <c r="C5" s="196">
        <v>7</v>
      </c>
      <c r="D5" s="197"/>
      <c r="E5" s="197"/>
      <c r="F5" s="77"/>
    </row>
    <row r="6" spans="1:7" ht="19.5">
      <c r="B6" s="78" t="s">
        <v>2</v>
      </c>
      <c r="C6" s="196">
        <v>12392.69</v>
      </c>
      <c r="D6" s="197"/>
      <c r="E6" s="197"/>
      <c r="F6" s="77"/>
    </row>
    <row r="7" spans="1:7" ht="19.5">
      <c r="B7" s="78" t="s">
        <v>89</v>
      </c>
      <c r="C7" s="79">
        <v>1470</v>
      </c>
      <c r="D7" s="80"/>
      <c r="E7" s="81"/>
      <c r="F7" s="77"/>
    </row>
    <row r="8" spans="1:7" ht="39">
      <c r="B8" s="98" t="s">
        <v>96</v>
      </c>
      <c r="C8" s="190"/>
      <c r="D8" s="191"/>
      <c r="E8" s="192"/>
      <c r="F8" s="83"/>
    </row>
    <row r="9" spans="1:7" ht="19.5">
      <c r="B9" s="108" t="s">
        <v>91</v>
      </c>
      <c r="C9" s="105">
        <v>547658.41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1264054.3800000001</v>
      </c>
      <c r="D12" s="66">
        <f>C12/12</f>
        <v>105337.86500000001</v>
      </c>
      <c r="E12" s="46"/>
    </row>
    <row r="13" spans="1:7">
      <c r="A13" s="179"/>
      <c r="B13" s="180"/>
      <c r="C13" s="180"/>
      <c r="D13" s="180"/>
      <c r="E13" s="181"/>
      <c r="F13" s="181"/>
      <c r="G13" s="181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2" t="s">
        <v>4</v>
      </c>
      <c r="B15" s="154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>
      <c r="A16" s="183"/>
      <c r="B16" s="155"/>
      <c r="C16" s="185"/>
      <c r="D16" s="116" t="s">
        <v>6</v>
      </c>
      <c r="E16" s="116" t="s">
        <v>42</v>
      </c>
      <c r="F16" s="185"/>
      <c r="G16" s="189"/>
    </row>
    <row r="17" spans="1:7">
      <c r="A17" s="117" t="s">
        <v>7</v>
      </c>
      <c r="B17" s="13" t="s">
        <v>31</v>
      </c>
      <c r="C17" s="15">
        <f>D17*C6</f>
        <v>57502.081599999998</v>
      </c>
      <c r="D17" s="15">
        <v>4.6399999999999997</v>
      </c>
      <c r="E17" s="15">
        <f>C17*12</f>
        <v>690024.97919999994</v>
      </c>
      <c r="F17" s="15">
        <f>C17*12</f>
        <v>690024.97919999994</v>
      </c>
      <c r="G17" s="40"/>
    </row>
    <row r="18" spans="1:7">
      <c r="A18" s="100" t="s">
        <v>10</v>
      </c>
      <c r="B18" s="18" t="s">
        <v>11</v>
      </c>
      <c r="C18" s="15">
        <f>0.47*C6</f>
        <v>5824.5643</v>
      </c>
      <c r="D18" s="15">
        <v>0.47</v>
      </c>
      <c r="E18" s="15">
        <f>C18*12</f>
        <v>69894.771600000007</v>
      </c>
      <c r="F18" s="15">
        <f t="shared" ref="F18:F27" si="0">C18*12</f>
        <v>69894.771600000007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0.10893518679156824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8.9568931361956126E-3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287.875</v>
      </c>
      <c r="D21" s="15">
        <f>C21/C6</f>
        <v>2.3229419924164971E-2</v>
      </c>
      <c r="E21" s="15">
        <f>C7*2.35</f>
        <v>3454.5</v>
      </c>
      <c r="F21" s="15">
        <f t="shared" si="0"/>
        <v>3454.5</v>
      </c>
      <c r="G21" s="3"/>
    </row>
    <row r="22" spans="1:7">
      <c r="A22" s="118" t="s">
        <v>45</v>
      </c>
      <c r="B22" s="1" t="s">
        <v>85</v>
      </c>
      <c r="C22" s="15">
        <f>E22/12</f>
        <v>198.45000000000002</v>
      </c>
      <c r="D22" s="15">
        <f>C22/C6</f>
        <v>1.6013472458360534E-2</v>
      </c>
      <c r="E22" s="15">
        <f>C7*1.62</f>
        <v>2381.4</v>
      </c>
      <c r="F22" s="15">
        <f t="shared" si="0"/>
        <v>2381.4</v>
      </c>
      <c r="G22" s="3"/>
    </row>
    <row r="23" spans="1:7" s="119" customFormat="1">
      <c r="A23" s="118"/>
      <c r="B23" s="1" t="s">
        <v>37</v>
      </c>
      <c r="C23" s="15">
        <f>C12*12%/12</f>
        <v>12640.543800000001</v>
      </c>
      <c r="D23" s="15">
        <f>C23/C6</f>
        <v>1.02</v>
      </c>
      <c r="E23" s="3">
        <f>C12*12%</f>
        <v>151686.52560000002</v>
      </c>
      <c r="F23" s="15">
        <f t="shared" si="0"/>
        <v>151686.52560000002</v>
      </c>
      <c r="G23" s="3"/>
    </row>
    <row r="24" spans="1:7" ht="37.5">
      <c r="A24" s="118"/>
      <c r="B24" s="1" t="s">
        <v>83</v>
      </c>
      <c r="C24" s="15">
        <f>C12*0.9%/12</f>
        <v>948.04078500000014</v>
      </c>
      <c r="D24" s="15">
        <f>C24/C6</f>
        <v>7.6500000000000012E-2</v>
      </c>
      <c r="E24" s="3">
        <f>C12*0.9%</f>
        <v>11376.489420000002</v>
      </c>
      <c r="F24" s="15">
        <f t="shared" si="0"/>
        <v>11376.489420000002</v>
      </c>
      <c r="G24" s="3"/>
    </row>
    <row r="25" spans="1:7" s="119" customFormat="1">
      <c r="A25" s="118"/>
      <c r="B25" s="1" t="s">
        <v>84</v>
      </c>
      <c r="C25" s="15">
        <f>C12*2.5%/12</f>
        <v>2633.4466250000005</v>
      </c>
      <c r="D25" s="15">
        <f>C25/C6</f>
        <v>0.21250000000000002</v>
      </c>
      <c r="E25" s="3">
        <f>C25*12</f>
        <v>31601.359500000006</v>
      </c>
      <c r="F25" s="15">
        <f t="shared" si="0"/>
        <v>31601.359500000006</v>
      </c>
      <c r="G25" s="3"/>
    </row>
    <row r="26" spans="1:7" s="121" customFormat="1">
      <c r="A26" s="120"/>
      <c r="B26" s="48" t="s">
        <v>108</v>
      </c>
      <c r="C26" s="49">
        <f>E26/12</f>
        <v>456.38200833333332</v>
      </c>
      <c r="D26" s="49">
        <f>E26/C6/12</f>
        <v>3.6826710611927944E-2</v>
      </c>
      <c r="E26" s="50">
        <f>C9*1%</f>
        <v>5476.5841</v>
      </c>
      <c r="F26" s="15">
        <f t="shared" si="0"/>
        <v>5476.5841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0.30280754218817701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85704.984118333334</v>
      </c>
      <c r="D28" s="14">
        <f>SUM(D17:D27)</f>
        <v>6.9157692251103944</v>
      </c>
      <c r="E28" s="14">
        <f>SUM(E17:E27)</f>
        <v>1028459.8094199999</v>
      </c>
      <c r="F28" s="14">
        <f>SUM(F17:F27)</f>
        <v>1028459.8094199999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19632.880881666668</v>
      </c>
      <c r="D31" s="91">
        <f>C31/C6</f>
        <v>1.5842307748896056</v>
      </c>
      <c r="E31" s="91">
        <f>C31*12</f>
        <v>235594.57058</v>
      </c>
      <c r="F31" s="91">
        <f>E31</f>
        <v>235594.57058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4"/>
      <c r="C48" s="171"/>
      <c r="D48" s="146"/>
      <c r="E48" s="147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2" t="s">
        <v>34</v>
      </c>
      <c r="C50" s="172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3"/>
      <c r="C60" s="174"/>
      <c r="D60" s="174"/>
      <c r="E60" s="175"/>
      <c r="F60" s="76"/>
      <c r="G60" s="76"/>
    </row>
    <row r="61" spans="1:7" ht="56.25" customHeight="1">
      <c r="A61" s="128"/>
      <c r="B61" s="176" t="s">
        <v>95</v>
      </c>
      <c r="C61" s="177"/>
      <c r="D61" s="177"/>
      <c r="E61" s="178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2" sqref="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3" t="s">
        <v>41</v>
      </c>
      <c r="F1" s="193"/>
      <c r="G1" s="193"/>
    </row>
    <row r="2" spans="1:7" ht="36.75" customHeight="1">
      <c r="A2" s="194" t="s">
        <v>112</v>
      </c>
      <c r="B2" s="194"/>
      <c r="C2" s="194"/>
      <c r="D2" s="194"/>
      <c r="E2" s="194"/>
      <c r="F2" s="194"/>
      <c r="G2" s="194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5" t="s">
        <v>110</v>
      </c>
      <c r="D4" s="181"/>
      <c r="E4" s="181"/>
      <c r="F4" s="74"/>
    </row>
    <row r="5" spans="1:7" ht="19.5">
      <c r="B5" s="73" t="s">
        <v>1</v>
      </c>
      <c r="C5" s="196">
        <v>5</v>
      </c>
      <c r="D5" s="197"/>
      <c r="E5" s="197"/>
      <c r="F5" s="77"/>
    </row>
    <row r="6" spans="1:7" ht="19.5">
      <c r="B6" s="78" t="s">
        <v>2</v>
      </c>
      <c r="C6" s="196">
        <v>9285.86</v>
      </c>
      <c r="D6" s="197"/>
      <c r="E6" s="197"/>
      <c r="F6" s="77"/>
    </row>
    <row r="7" spans="1:7" ht="19.5">
      <c r="B7" s="78" t="s">
        <v>89</v>
      </c>
      <c r="C7" s="79">
        <v>1050</v>
      </c>
      <c r="D7" s="80"/>
      <c r="E7" s="81"/>
      <c r="F7" s="77"/>
    </row>
    <row r="8" spans="1:7" ht="39">
      <c r="B8" s="98" t="s">
        <v>96</v>
      </c>
      <c r="C8" s="190"/>
      <c r="D8" s="191"/>
      <c r="E8" s="192"/>
      <c r="F8" s="83"/>
    </row>
    <row r="9" spans="1:7" ht="19.5">
      <c r="B9" s="108" t="s">
        <v>91</v>
      </c>
      <c r="C9" s="105">
        <v>1148962.56</v>
      </c>
      <c r="D9" s="106"/>
      <c r="E9" s="107"/>
      <c r="F9" s="83"/>
    </row>
    <row r="10" spans="1:7">
      <c r="B10" s="87" t="s">
        <v>87</v>
      </c>
      <c r="C10" s="88">
        <v>9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1002872.8800000001</v>
      </c>
      <c r="D12" s="66">
        <f>C12/12</f>
        <v>83572.740000000005</v>
      </c>
      <c r="E12" s="46"/>
    </row>
    <row r="13" spans="1:7">
      <c r="A13" s="179"/>
      <c r="B13" s="180"/>
      <c r="C13" s="180"/>
      <c r="D13" s="180"/>
      <c r="E13" s="181"/>
      <c r="F13" s="181"/>
      <c r="G13" s="181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2" t="s">
        <v>4</v>
      </c>
      <c r="B15" s="154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>
      <c r="A16" s="183"/>
      <c r="B16" s="155"/>
      <c r="C16" s="185"/>
      <c r="D16" s="116" t="s">
        <v>6</v>
      </c>
      <c r="E16" s="116" t="s">
        <v>42</v>
      </c>
      <c r="F16" s="185"/>
      <c r="G16" s="189"/>
    </row>
    <row r="17" spans="1:7">
      <c r="A17" s="117" t="s">
        <v>7</v>
      </c>
      <c r="B17" s="13" t="s">
        <v>31</v>
      </c>
      <c r="C17" s="15">
        <f>D17*C6</f>
        <v>43086.390399999997</v>
      </c>
      <c r="D17" s="15">
        <v>4.6399999999999997</v>
      </c>
      <c r="E17" s="15">
        <f>C17*12</f>
        <v>517036.68479999993</v>
      </c>
      <c r="F17" s="15">
        <f>C17*12</f>
        <v>517036.68479999993</v>
      </c>
      <c r="G17" s="40"/>
    </row>
    <row r="18" spans="1:7">
      <c r="A18" s="100" t="s">
        <v>10</v>
      </c>
      <c r="B18" s="18" t="s">
        <v>11</v>
      </c>
      <c r="C18" s="15">
        <f>0.47*C6</f>
        <v>4364.3541999999998</v>
      </c>
      <c r="D18" s="15">
        <v>0.47</v>
      </c>
      <c r="E18" s="15">
        <f>C18*12</f>
        <v>52372.250399999997</v>
      </c>
      <c r="F18" s="15">
        <f t="shared" ref="F18:F27" si="0">C18*12</f>
        <v>52372.250399999997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0.14538233400029721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1.1953658573357772E-2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205.625</v>
      </c>
      <c r="D21" s="15">
        <f>C21/C6</f>
        <v>2.2143883280600827E-2</v>
      </c>
      <c r="E21" s="15">
        <f>C7*2.35</f>
        <v>2467.5</v>
      </c>
      <c r="F21" s="15">
        <f t="shared" si="0"/>
        <v>2467.5</v>
      </c>
      <c r="G21" s="3"/>
    </row>
    <row r="22" spans="1:7">
      <c r="A22" s="118" t="s">
        <v>45</v>
      </c>
      <c r="B22" s="1" t="s">
        <v>85</v>
      </c>
      <c r="C22" s="15">
        <f>E22/12</f>
        <v>141.75</v>
      </c>
      <c r="D22" s="15">
        <f>E22/C6</f>
        <v>0.1831817408403745</v>
      </c>
      <c r="E22" s="15">
        <f>C7*1.62</f>
        <v>1701</v>
      </c>
      <c r="F22" s="15">
        <f t="shared" si="0"/>
        <v>1701</v>
      </c>
      <c r="G22" s="3"/>
    </row>
    <row r="23" spans="1:7" s="119" customFormat="1">
      <c r="A23" s="118"/>
      <c r="B23" s="1" t="s">
        <v>37</v>
      </c>
      <c r="C23" s="15">
        <f>C12*12%/12</f>
        <v>10028.728800000001</v>
      </c>
      <c r="D23" s="15">
        <f>C23/C6</f>
        <v>1.08</v>
      </c>
      <c r="E23" s="3">
        <f>C12*12%</f>
        <v>120344.74560000001</v>
      </c>
      <c r="F23" s="15">
        <f t="shared" si="0"/>
        <v>120344.74560000001</v>
      </c>
      <c r="G23" s="3"/>
    </row>
    <row r="24" spans="1:7" ht="37.5">
      <c r="A24" s="118"/>
      <c r="B24" s="1" t="s">
        <v>83</v>
      </c>
      <c r="C24" s="15">
        <f>C12*0.9%/12</f>
        <v>752.15466000000015</v>
      </c>
      <c r="D24" s="15">
        <f>C24/C6</f>
        <v>8.1000000000000016E-2</v>
      </c>
      <c r="E24" s="3">
        <f>C12*0.9%</f>
        <v>9025.8559200000018</v>
      </c>
      <c r="F24" s="15">
        <f t="shared" si="0"/>
        <v>9025.8559200000018</v>
      </c>
      <c r="G24" s="3"/>
    </row>
    <row r="25" spans="1:7" s="119" customFormat="1">
      <c r="A25" s="118"/>
      <c r="B25" s="1" t="s">
        <v>84</v>
      </c>
      <c r="C25" s="15">
        <f>C12*2.5%/12</f>
        <v>2089.3185000000003</v>
      </c>
      <c r="D25" s="15">
        <f>C25/C6</f>
        <v>0.22500000000000003</v>
      </c>
      <c r="E25" s="3">
        <f>C25*12</f>
        <v>25071.822000000004</v>
      </c>
      <c r="F25" s="15">
        <f t="shared" si="0"/>
        <v>25071.822000000004</v>
      </c>
      <c r="G25" s="3"/>
    </row>
    <row r="26" spans="1:7" s="121" customFormat="1">
      <c r="A26" s="120"/>
      <c r="B26" s="48" t="s">
        <v>108</v>
      </c>
      <c r="C26" s="49">
        <f>E26/12</f>
        <v>957.4688000000001</v>
      </c>
      <c r="D26" s="49">
        <f>E26/C6/12</f>
        <v>0.10311040657515837</v>
      </c>
      <c r="E26" s="50">
        <f>C9*1%</f>
        <v>11489.625600000001</v>
      </c>
      <c r="F26" s="15">
        <f t="shared" si="0"/>
        <v>11489.625600000001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0.40411981227371507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66839.390360000005</v>
      </c>
      <c r="D28" s="14">
        <f>SUM(D17:D27)</f>
        <v>7.3658918355435024</v>
      </c>
      <c r="E28" s="14">
        <f>SUM(E17:E27)</f>
        <v>802072.68432</v>
      </c>
      <c r="F28" s="14">
        <f>SUM(F17:F27)</f>
        <v>802072.68432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15174.099640000015</v>
      </c>
      <c r="D31" s="91">
        <f>C31/C6</f>
        <v>1.6341081644564976</v>
      </c>
      <c r="E31" s="91">
        <f>C31*12</f>
        <v>182089.19568000018</v>
      </c>
      <c r="F31" s="91">
        <f>E31</f>
        <v>182089.19568000018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4"/>
      <c r="C48" s="171"/>
      <c r="D48" s="146"/>
      <c r="E48" s="147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2" t="s">
        <v>34</v>
      </c>
      <c r="C50" s="172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3"/>
      <c r="C60" s="174"/>
      <c r="D60" s="174"/>
      <c r="E60" s="175"/>
      <c r="F60" s="76"/>
      <c r="G60" s="76"/>
    </row>
    <row r="61" spans="1:7" ht="63" customHeight="1">
      <c r="A61" s="128"/>
      <c r="B61" s="176" t="s">
        <v>95</v>
      </c>
      <c r="C61" s="177"/>
      <c r="D61" s="177"/>
      <c r="E61" s="178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2" sqref="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3" t="s">
        <v>41</v>
      </c>
      <c r="F1" s="193"/>
      <c r="G1" s="193"/>
    </row>
    <row r="2" spans="1:7" ht="36.75" customHeight="1">
      <c r="A2" s="194" t="s">
        <v>113</v>
      </c>
      <c r="B2" s="194"/>
      <c r="C2" s="194"/>
      <c r="D2" s="194"/>
      <c r="E2" s="194"/>
      <c r="F2" s="194"/>
      <c r="G2" s="194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5" t="s">
        <v>110</v>
      </c>
      <c r="D4" s="181"/>
      <c r="E4" s="181"/>
      <c r="F4" s="74"/>
    </row>
    <row r="5" spans="1:7" ht="19.5">
      <c r="B5" s="73" t="s">
        <v>1</v>
      </c>
      <c r="C5" s="196">
        <v>1</v>
      </c>
      <c r="D5" s="197"/>
      <c r="E5" s="197"/>
      <c r="F5" s="77"/>
    </row>
    <row r="6" spans="1:7" ht="19.5">
      <c r="B6" s="78" t="s">
        <v>2</v>
      </c>
      <c r="C6" s="196">
        <v>3183</v>
      </c>
      <c r="D6" s="197"/>
      <c r="E6" s="197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90"/>
      <c r="D8" s="191"/>
      <c r="E8" s="192"/>
      <c r="F8" s="83"/>
    </row>
    <row r="9" spans="1:7" ht="19.5">
      <c r="B9" s="108" t="s">
        <v>91</v>
      </c>
      <c r="C9" s="105">
        <v>783008.28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324666</v>
      </c>
      <c r="D12" s="66">
        <f>C12/12</f>
        <v>27055.5</v>
      </c>
      <c r="E12" s="46"/>
    </row>
    <row r="13" spans="1:7">
      <c r="A13" s="179"/>
      <c r="B13" s="180"/>
      <c r="C13" s="180"/>
      <c r="D13" s="180"/>
      <c r="E13" s="181"/>
      <c r="F13" s="181"/>
      <c r="G13" s="181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2" t="s">
        <v>4</v>
      </c>
      <c r="B15" s="154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>
      <c r="A16" s="183"/>
      <c r="B16" s="155"/>
      <c r="C16" s="185"/>
      <c r="D16" s="116" t="s">
        <v>6</v>
      </c>
      <c r="E16" s="116" t="s">
        <v>42</v>
      </c>
      <c r="F16" s="185"/>
      <c r="G16" s="189"/>
    </row>
    <row r="17" spans="1:7">
      <c r="A17" s="117" t="s">
        <v>7</v>
      </c>
      <c r="B17" s="13" t="s">
        <v>31</v>
      </c>
      <c r="C17" s="15">
        <f>D17*C6</f>
        <v>14769.119999999999</v>
      </c>
      <c r="D17" s="15">
        <v>4.6399999999999997</v>
      </c>
      <c r="E17" s="15">
        <f>C17*12</f>
        <v>177229.44</v>
      </c>
      <c r="F17" s="15">
        <f>C17*12</f>
        <v>177229.44</v>
      </c>
      <c r="G17" s="40"/>
    </row>
    <row r="18" spans="1:7">
      <c r="A18" s="100" t="s">
        <v>10</v>
      </c>
      <c r="B18" s="18" t="s">
        <v>11</v>
      </c>
      <c r="C18" s="15">
        <f>0.47*C6</f>
        <v>1496.01</v>
      </c>
      <c r="D18" s="15">
        <v>0.47</v>
      </c>
      <c r="E18" s="15">
        <f>C18*12</f>
        <v>17952.12</v>
      </c>
      <c r="F18" s="15">
        <f t="shared" ref="F18:F27" si="0">C18*12</f>
        <v>17952.12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0.42412818096135724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3.4872761545711596E-2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2.5225154466436278E-2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E22/C6</f>
        <v>0.20867106503298777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3246.66</v>
      </c>
      <c r="D23" s="15">
        <f>C23/C6</f>
        <v>1.02</v>
      </c>
      <c r="E23" s="3">
        <f>C12*12%</f>
        <v>38959.919999999998</v>
      </c>
      <c r="F23" s="15">
        <f t="shared" si="0"/>
        <v>38959.919999999998</v>
      </c>
      <c r="G23" s="3"/>
    </row>
    <row r="24" spans="1:7" ht="37.5">
      <c r="A24" s="118"/>
      <c r="B24" s="1" t="s">
        <v>83</v>
      </c>
      <c r="C24" s="15">
        <f>C12*0.9%/12</f>
        <v>243.49950000000001</v>
      </c>
      <c r="D24" s="15">
        <f>C24/C6</f>
        <v>7.6499999999999999E-2</v>
      </c>
      <c r="E24" s="3">
        <f>C12*0.9%</f>
        <v>2921.9940000000001</v>
      </c>
      <c r="F24" s="15">
        <f t="shared" si="0"/>
        <v>2921.9940000000001</v>
      </c>
      <c r="G24" s="3"/>
    </row>
    <row r="25" spans="1:7" s="119" customFormat="1">
      <c r="A25" s="118"/>
      <c r="B25" s="1" t="s">
        <v>84</v>
      </c>
      <c r="C25" s="15">
        <f>C12*2.5%/12</f>
        <v>676.38750000000005</v>
      </c>
      <c r="D25" s="15">
        <f>C25/C6</f>
        <v>0.21250000000000002</v>
      </c>
      <c r="E25" s="3">
        <f>C25*12</f>
        <v>8116.6500000000005</v>
      </c>
      <c r="F25" s="15">
        <f t="shared" si="0"/>
        <v>8116.6500000000005</v>
      </c>
      <c r="G25" s="3"/>
    </row>
    <row r="26" spans="1:7" s="121" customFormat="1">
      <c r="A26" s="120"/>
      <c r="B26" s="48" t="s">
        <v>108</v>
      </c>
      <c r="C26" s="49">
        <f>E26/12</f>
        <v>652.50689999999997</v>
      </c>
      <c r="D26" s="49">
        <f>E26/C6/12</f>
        <v>0.20499745523091426</v>
      </c>
      <c r="E26" s="50">
        <f>C9*1%</f>
        <v>7830.0828000000001</v>
      </c>
      <c r="F26" s="15">
        <f t="shared" si="0"/>
        <v>7830.0828000000001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1.1789506754633992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26433.425566666665</v>
      </c>
      <c r="D28" s="14">
        <f>SUM(D17:D27)</f>
        <v>8.4958452927008068</v>
      </c>
      <c r="E28" s="14">
        <f>SUM(E17:E27)</f>
        <v>317201.10680000001</v>
      </c>
      <c r="F28" s="14">
        <f>SUM(F17:F27)</f>
        <v>317201.10680000001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13.224433333331973</v>
      </c>
      <c r="D31" s="91">
        <f>C31/C6</f>
        <v>4.1547072991932055E-3</v>
      </c>
      <c r="E31" s="91">
        <f>C31*12</f>
        <v>158.69319999998368</v>
      </c>
      <c r="F31" s="91">
        <f>E31</f>
        <v>158.69319999998368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4"/>
      <c r="C48" s="171"/>
      <c r="D48" s="146"/>
      <c r="E48" s="147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2" t="s">
        <v>34</v>
      </c>
      <c r="C50" s="172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3"/>
      <c r="C60" s="174"/>
      <c r="D60" s="174"/>
      <c r="E60" s="175"/>
      <c r="F60" s="76"/>
      <c r="G60" s="76"/>
    </row>
    <row r="61" spans="1:7" ht="56.25" customHeight="1">
      <c r="A61" s="128"/>
      <c r="B61" s="176" t="s">
        <v>95</v>
      </c>
      <c r="C61" s="177"/>
      <c r="D61" s="177"/>
      <c r="E61" s="178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3" t="s">
        <v>41</v>
      </c>
      <c r="F1" s="193"/>
      <c r="G1" s="193"/>
    </row>
    <row r="2" spans="1:7" ht="37.5" customHeight="1">
      <c r="A2" s="194" t="s">
        <v>114</v>
      </c>
      <c r="B2" s="194"/>
      <c r="C2" s="194"/>
      <c r="D2" s="194"/>
      <c r="E2" s="194"/>
      <c r="F2" s="194"/>
      <c r="G2" s="194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5" t="s">
        <v>110</v>
      </c>
      <c r="D4" s="181"/>
      <c r="E4" s="181"/>
      <c r="F4" s="74"/>
    </row>
    <row r="5" spans="1:7" ht="19.5">
      <c r="B5" s="73" t="s">
        <v>1</v>
      </c>
      <c r="C5" s="196">
        <v>1</v>
      </c>
      <c r="D5" s="197"/>
      <c r="E5" s="197"/>
      <c r="F5" s="77"/>
    </row>
    <row r="6" spans="1:7" ht="19.5">
      <c r="B6" s="78" t="s">
        <v>2</v>
      </c>
      <c r="C6" s="196">
        <v>3259.2</v>
      </c>
      <c r="D6" s="197"/>
      <c r="E6" s="197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90"/>
      <c r="D8" s="191"/>
      <c r="E8" s="192"/>
      <c r="F8" s="83"/>
    </row>
    <row r="9" spans="1:7" ht="19.5">
      <c r="B9" s="108" t="s">
        <v>91</v>
      </c>
      <c r="C9" s="105">
        <v>310744.3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371548.8</v>
      </c>
      <c r="D12" s="66">
        <f>C12/12</f>
        <v>30962.399999999998</v>
      </c>
      <c r="E12" s="46"/>
    </row>
    <row r="13" spans="1:7">
      <c r="A13" s="179"/>
      <c r="B13" s="180"/>
      <c r="C13" s="180"/>
      <c r="D13" s="180"/>
      <c r="E13" s="181"/>
      <c r="F13" s="181"/>
      <c r="G13" s="181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2" t="s">
        <v>4</v>
      </c>
      <c r="B15" s="154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>
      <c r="A16" s="183"/>
      <c r="B16" s="155"/>
      <c r="C16" s="185"/>
      <c r="D16" s="116" t="s">
        <v>6</v>
      </c>
      <c r="E16" s="116" t="s">
        <v>42</v>
      </c>
      <c r="F16" s="185"/>
      <c r="G16" s="189"/>
    </row>
    <row r="17" spans="1:7">
      <c r="A17" s="117" t="s">
        <v>7</v>
      </c>
      <c r="B17" s="13" t="s">
        <v>31</v>
      </c>
      <c r="C17" s="15">
        <f>D17*C6</f>
        <v>15122.687999999998</v>
      </c>
      <c r="D17" s="15">
        <v>4.6399999999999997</v>
      </c>
      <c r="E17" s="15">
        <f>C17*12</f>
        <v>181472.25599999999</v>
      </c>
      <c r="F17" s="15">
        <f>C17*12</f>
        <v>181472.25599999999</v>
      </c>
      <c r="G17" s="40"/>
    </row>
    <row r="18" spans="1:7">
      <c r="A18" s="100" t="s">
        <v>10</v>
      </c>
      <c r="B18" s="18" t="s">
        <v>11</v>
      </c>
      <c r="C18" s="15">
        <f>0.47*C6</f>
        <v>1531.8239999999998</v>
      </c>
      <c r="D18" s="15">
        <v>0.47</v>
      </c>
      <c r="E18" s="15">
        <f>C18*12</f>
        <v>18381.887999999999</v>
      </c>
      <c r="F18" s="15">
        <f t="shared" ref="F18:F27" si="0">C18*12</f>
        <v>18381.887999999999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0.41421207658321063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3.4057437407952876E-2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2.4635391098019967E-2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3715.4879999999998</v>
      </c>
      <c r="D23" s="15">
        <f>C23/C6</f>
        <v>1.1399999999999999</v>
      </c>
      <c r="E23" s="3">
        <f>C12*12%</f>
        <v>44585.856</v>
      </c>
      <c r="F23" s="15">
        <f t="shared" si="0"/>
        <v>44585.856</v>
      </c>
      <c r="G23" s="3"/>
    </row>
    <row r="24" spans="1:7" ht="37.5">
      <c r="A24" s="118"/>
      <c r="B24" s="1" t="s">
        <v>83</v>
      </c>
      <c r="C24" s="15">
        <f>C12*0.9%/12</f>
        <v>278.66160000000002</v>
      </c>
      <c r="D24" s="15">
        <f>C24/C6</f>
        <v>8.5500000000000007E-2</v>
      </c>
      <c r="E24" s="3">
        <f>C12*0.9%</f>
        <v>3343.9392000000003</v>
      </c>
      <c r="F24" s="15">
        <f t="shared" si="0"/>
        <v>3343.9392000000003</v>
      </c>
      <c r="G24" s="3"/>
    </row>
    <row r="25" spans="1:7" s="119" customFormat="1">
      <c r="A25" s="118"/>
      <c r="B25" s="1" t="s">
        <v>84</v>
      </c>
      <c r="C25" s="15">
        <f>C12*2.5%/12</f>
        <v>774.06</v>
      </c>
      <c r="D25" s="15">
        <f>C25/C6</f>
        <v>0.23749999999999999</v>
      </c>
      <c r="E25" s="3">
        <f>C25*12</f>
        <v>9288.7199999999993</v>
      </c>
      <c r="F25" s="15">
        <f t="shared" si="0"/>
        <v>9288.7199999999993</v>
      </c>
      <c r="G25" s="3"/>
    </row>
    <row r="26" spans="1:7" s="121" customFormat="1">
      <c r="A26" s="120"/>
      <c r="B26" s="48" t="s">
        <v>108</v>
      </c>
      <c r="C26" s="49">
        <f>E26/12</f>
        <v>258.95358333333331</v>
      </c>
      <c r="D26" s="49">
        <f>E26/C6/12</f>
        <v>7.9453112215676649E-2</v>
      </c>
      <c r="E26" s="50">
        <f>C9*1%</f>
        <v>3107.4429999999998</v>
      </c>
      <c r="F26" s="15">
        <f t="shared" si="0"/>
        <v>3107.4429999999998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1.1513868433971528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27030.916849999998</v>
      </c>
      <c r="D28" s="14">
        <f>SUM(D17:D27)</f>
        <v>8.4117448607020116</v>
      </c>
      <c r="E28" s="14">
        <f>SUM(E17:E27)</f>
        <v>324371.00220000005</v>
      </c>
      <c r="F28" s="14">
        <f>SUM(F17:F27)</f>
        <v>324371.00220000005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3546.8411500000038</v>
      </c>
      <c r="D31" s="91">
        <f>C31/C6</f>
        <v>1.0882551392979884</v>
      </c>
      <c r="E31" s="91">
        <f>C31*12</f>
        <v>42562.093800000046</v>
      </c>
      <c r="F31" s="91">
        <f>E31</f>
        <v>42562.093800000046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4"/>
      <c r="C48" s="171"/>
      <c r="D48" s="146"/>
      <c r="E48" s="147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2" t="s">
        <v>34</v>
      </c>
      <c r="C50" s="172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3"/>
      <c r="C60" s="174"/>
      <c r="D60" s="174"/>
      <c r="E60" s="175"/>
      <c r="F60" s="76"/>
      <c r="G60" s="76"/>
    </row>
    <row r="61" spans="1:7" ht="54" customHeight="1">
      <c r="A61" s="128"/>
      <c r="B61" s="176" t="s">
        <v>95</v>
      </c>
      <c r="C61" s="177"/>
      <c r="D61" s="177"/>
      <c r="E61" s="178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Лист2</vt:lpstr>
      <vt:lpstr>А. Петр. 266</vt:lpstr>
      <vt:lpstr>Шук. 26а</vt:lpstr>
      <vt:lpstr>Шук, 28</vt:lpstr>
      <vt:lpstr>Шук, 34</vt:lpstr>
      <vt:lpstr>С. Пол. 31</vt:lpstr>
      <vt:lpstr>С. Пол. 29</vt:lpstr>
      <vt:lpstr>С. Пол. 27 кор1</vt:lpstr>
      <vt:lpstr>С. Пол. 27 корп. 2</vt:lpstr>
      <vt:lpstr>С. Пол. 23а</vt:lpstr>
      <vt:lpstr>пример</vt:lpstr>
      <vt:lpstr>Лист24</vt:lpstr>
      <vt:lpstr>Лист25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2015-12-23T06:48:59Z</cp:lastPrinted>
  <dcterms:created xsi:type="dcterms:W3CDTF">2006-09-28T05:33:49Z</dcterms:created>
  <dcterms:modified xsi:type="dcterms:W3CDTF">2021-05-18T03:01:37Z</dcterms:modified>
</cp:coreProperties>
</file>